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edroSanchezSentiment\Fecha1\"/>
    </mc:Choice>
  </mc:AlternateContent>
  <xr:revisionPtr revIDLastSave="0" documentId="13_ncr:1_{0258F6BE-6889-4AAA-923D-F4B4F075FB94}" xr6:coauthVersionLast="40" xr6:coauthVersionMax="40" xr10:uidLastSave="{00000000-0000-0000-0000-000000000000}"/>
  <bookViews>
    <workbookView xWindow="0" yWindow="0" windowWidth="23040" windowHeight="8412" xr2:uid="{00000000-000D-0000-FFFF-FFFF00000000}"/>
  </bookViews>
  <sheets>
    <sheet name="&quot;Pedro Sánchez&quot; langes -filterr"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7" i="3" l="1"/>
  <c r="K2477" i="3"/>
  <c r="E2477" i="3"/>
  <c r="B2477" i="3"/>
  <c r="U2476" i="3"/>
  <c r="K2476" i="3"/>
  <c r="E2476" i="3"/>
  <c r="B2476" i="3"/>
  <c r="U2475" i="3"/>
  <c r="K2475" i="3"/>
  <c r="E2475" i="3"/>
  <c r="B2475" i="3"/>
  <c r="U2474" i="3"/>
  <c r="K2474" i="3"/>
  <c r="E2474" i="3"/>
  <c r="B2474" i="3"/>
  <c r="U2473"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K1979" i="3"/>
  <c r="E1979" i="3"/>
  <c r="B1979" i="3"/>
  <c r="U1978"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K1772" i="3"/>
  <c r="E1772" i="3"/>
  <c r="B1772" i="3"/>
  <c r="U1771" i="3"/>
  <c r="K1771" i="3"/>
  <c r="E1771" i="3"/>
  <c r="B1771" i="3"/>
  <c r="U1770" i="3"/>
  <c r="K1770" i="3"/>
  <c r="E1770" i="3"/>
  <c r="B1770" i="3"/>
  <c r="U1769" i="3"/>
  <c r="K1769" i="3"/>
  <c r="E1769" i="3"/>
  <c r="B1769"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K1314" i="3"/>
  <c r="E1314" i="3"/>
  <c r="B1314" i="3"/>
  <c r="U1313" i="3"/>
  <c r="K1313" i="3"/>
  <c r="E1313" i="3"/>
  <c r="B1313" i="3"/>
  <c r="U1312" i="3"/>
  <c r="K1312" i="3"/>
  <c r="E1312" i="3"/>
  <c r="B1312" i="3"/>
  <c r="U1311" i="3"/>
  <c r="K1311" i="3"/>
  <c r="E1311" i="3"/>
  <c r="B1311"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<sst xmlns="http://schemas.openxmlformats.org/spreadsheetml/2006/main" count="12890" uniqueCount="8824">
  <si>
    <t>Twitter Query: "Pedro Sánchez" lang:es -filter:retweets -filter:replies</t>
  </si>
  <si>
    <t>Date</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</si>
  <si>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</si>
  <si>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</si>
  <si>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</si>
  <si>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</si>
  <si>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</si>
  <si>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</si>
  <si>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</si>
  <si>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</si>
  <si>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</si>
  <si>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</si>
  <si>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</si>
  <si>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</si>
  <si>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</si>
  <si>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</si>
  <si>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</si>
  <si>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</si>
  <si>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</si>
  <si>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</si>
  <si>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</si>
  <si>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</si>
  <si>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Cambio16</t>
  </si>
  <si>
    <t>Pedro Sánchez sobre sus exigencias a Reino Unido respecto a Gibraltar: “Si eso no se resuelve de aquí al domingo, España desgraciadamente un gobierno pro-europeísta tendrá que votar que no" al acuerdo del Brexit</t>
  </si>
  <si>
    <t>http://bit.ly/2R6jjHr</t>
  </si>
  <si>
    <t>https://pbs.twimg.com/media/Dssmw-QXgAAUg0j.jpg</t>
  </si>
  <si>
    <t>✅</t>
  </si>
  <si>
    <t>Madrid, España</t>
  </si>
  <si>
    <t>España</t>
  </si>
  <si>
    <t>Málaga</t>
  </si>
  <si>
    <t>Cuenta oficial | Revista y Web Cambio16 | Noticias de actualidad y análisis sobre España y el mundo contadas con contundencia.</t>
  </si>
  <si>
    <t>http://www.cambio16.com</t>
  </si>
  <si>
    <t>Ricardo Siles Aleman</t>
  </si>
  <si>
    <t>#Noticia desde #Cuba Díaz-Canel y Pedro Sánchez asisten en La Habana a foro empresarial Cuba-España  #SomosContinuidad</t>
  </si>
  <si>
    <t>Portal Diario</t>
  </si>
  <si>
    <t>https://ift.tt/2R8Wdjo</t>
  </si>
  <si>
    <t>Buenos Aires</t>
  </si>
  <si>
    <t>Menos follows, más noticias. Seguí la información de todos los diarios en una sola cuenta.</t>
  </si>
  <si>
    <t>http://portaldiario.net</t>
  </si>
  <si>
    <t>Argentina</t>
  </si>
  <si>
    <t>Cuba</t>
  </si>
  <si>
    <t>Soy un cubano que lucha por la verdad, Socialista y que siente mucho dolor cuando se meten con mi Cuba y difaman de ella.</t>
  </si>
  <si>
    <t>Zibelina 🇪🇸 🇪🇺 🌎</t>
  </si>
  <si>
    <t>El ridículo de Pedro Sánchez ante Theresa May y su venganza por Gibraltar</t>
  </si>
  <si>
    <t>Idafe Martín Pérez</t>
  </si>
  <si>
    <t>Pedro Sánchez en modo "no es no" RT @el_pais: ÚLTIMA HORA | España rechaza la oferta de Bruselas para Gibraltar y mantiene el veto al Brexit</t>
  </si>
  <si>
    <t>https://twitter.com/el_pais/status/1065987857771319296
http://ow.ly/GJIY30mJ9c3</t>
  </si>
  <si>
    <t>Mundo, Europa, España</t>
  </si>
  <si>
    <t>Ciudadana demócrata no nacionalista interesada por la informacion mundial, defensora de la cultura humanista y lectora permanente. No sigo cuentas protegidas</t>
  </si>
  <si>
    <t>Brussels</t>
  </si>
  <si>
    <t>Journalist. 🇪🇺 @clarincom @ELTIEMPO @elcomercio_peru @Reforma http://larojadebruselas2017.wordpress.comp0 Socio 4.052 CDTenerife</t>
  </si>
  <si>
    <t>http://www.idafe.eu</t>
  </si>
  <si>
    <t>La Habana. Cuba</t>
  </si>
  <si>
    <t>Escupitajo de El País a la oposición cubana elogiando que Pedro Sánchez no se reúna con ellos</t>
  </si>
  <si>
    <t>http://www.periodistadigital.com/periodismo/prensa/2018/11/23/escupitajo-elpais-oposicion-cubana-elogiando-pedro-sanchez-no-reuna-diaz-canel-brexit-gibraltar-borrell.shtml</t>
  </si>
  <si>
    <t>séneca</t>
  </si>
  <si>
    <t>Hay que ser torpes ... Pedro Sánchez habrá copiado en su tesis... Pero ciudadanos no sabe ni copiar RT @VoxCordoba: Qué si es una Mezquita, que si es una Catedral, que sin las dos, que si ninguna. Pues bien, C's tiene la solución. Vienen @JuanMarin_Cs y @francarrillog y ponen las fotos de la Catedral de Córdoba... Argentina. Y se acabó la polémica. #VeletaNaranja #AndalucíaPorEspaña</t>
  </si>
  <si>
    <t>https://twitter.com/VoxCordoba/status/1065753217898868736</t>
  </si>
  <si>
    <t>https://pbs.twimg.com/media/DspQ3WpV4AEauit.jpg</t>
  </si>
  <si>
    <t>disfrutando de la íntima satisfacción del deber cumplido. ..</t>
  </si>
  <si>
    <t>GELANBOLO</t>
  </si>
  <si>
    <t>Rafael Ruiz</t>
  </si>
  <si>
    <t>Soy jugador y conozco a la gente por un gesto de repente por su forma de mirar. NO ME COMPROMETO A NADA.</t>
  </si>
  <si>
    <t>El Gobierno de España Presidido por Pedro Sánchez vetará el acuerdo del 'Brexit' si no hay cambios en la relación futura de la UE con Gibraltar.  vía @_infoLibre</t>
  </si>
  <si>
    <t>https://www.infolibre.es/noticias/politica/2018/11/23/el_gobierno_vetara_acuerdo_si_no_introducen_cambios_sobre_relacion_futura_con_gibraltar_89140_1012.html?utm_source=twitter.com&amp;utm_medium=smmshare&amp;utm_campaign=noticias&amp;rnot=1015858</t>
  </si>
  <si>
    <t>Ideólogo. La alternancia fecunda el suelo de la democracia.</t>
  </si>
  <si>
    <t>Marcos Gar</t>
  </si>
  <si>
    <t>Alfonso Rojo López</t>
  </si>
  <si>
    <t>Sánchez presume de su viaje a la dictadura cubana y Twitter le hunde: ¡Vividor, este dictador sí te gusta!</t>
  </si>
  <si>
    <t>https://www.periodistadigital.com/politica/gobierno/2018/11/23/pedro-sanchez-presume-viaje-dictadura-cubana-twitter-masacra-vividor.shtml</t>
  </si>
  <si>
    <t>Gerona/Girona, Cataluña/Catalunya</t>
  </si>
  <si>
    <t>La libre comunicación de los pensamientos es uno de los derechos más preciados por el hombre. En Facebook:http//No Solo Politica. Convivencia Social.</t>
  </si>
  <si>
    <t>Madrid</t>
  </si>
  <si>
    <t>Director de Periodista Digital. Cuenta Oficial</t>
  </si>
  <si>
    <t>http://www.periodistadigital.com</t>
  </si>
  <si>
    <t>https://www.ramsoc47Acrata.twitter.com</t>
  </si>
  <si>
    <t>fabio jose fuenmayor</t>
  </si>
  <si>
    <t>Pedro Sánchez viajó a Cuba para hablar sobre derechos humanos. Ahora pedirá una cita con Mis Jalifa para hablar de pudor</t>
  </si>
  <si>
    <t>Mario Martín Lucas</t>
  </si>
  <si>
    <t>Formador y Coach Ejecutivo. Master en Gestión Financiera por UCM. Competidor apasionado del deporte. También #CríticaTeatral en http://www.traslamascara.com</t>
  </si>
  <si>
    <t>http://traslamascara.com</t>
  </si>
  <si>
    <t>🇳🇮 Reportes Nicas!</t>
  </si>
  <si>
    <t>MARISA #SiALaVida♥🇪🇸🇪🇸🇪🇸</t>
  </si>
  <si>
    <t>Pedro Sánchez presume de su viaje a la dictadura cubana y Twitter le masacra: "¡Vividor!"  vía @Periodistadigit</t>
  </si>
  <si>
    <t>#PedroSánchez contra los barones II: la apuesta por el 'superdomingo' augura tensión en el #PSOE.</t>
  </si>
  <si>
    <t>Valencia (Spain)</t>
  </si>
  <si>
    <t>CATÓLICA, orgullosa de serlo. DE DERECHAS. Me gusta leer y viajar. ESPAÑA es mi Pais y PARIS es mi ciudad.</t>
  </si>
  <si>
    <t>https://www.elconfidencial.com/espana/2018-11-23/pedro-sanchez-adelanto-electoral-superdomingo-barones_1663322/?utm_source=twitter&amp;utm_medium=social&amp;utm_campaign=BotoneraWeb</t>
  </si>
  <si>
    <t>Dudas Preguntas Sugerencias:DM</t>
  </si>
  <si>
    <t>Reporta u opina en temas de interés común. Usa @ReporteNi, #ReporteNi o #Reporto* y citaremos tu tuit. (* aplica si usas “Nicaragua” en tu localización)</t>
  </si>
  <si>
    <t>http://goo.gl/H1LZS</t>
  </si>
  <si>
    <t>Miguel A. Fdez.</t>
  </si>
  <si>
    <t>Pedro Sánchez ha viajado a Cuba para rendir honores al régimen criminal que ha convertido la isla caribeña en una inmensa cárcel...</t>
  </si>
  <si>
    <t>https://www.libertaddigital.com/internacional/latinoamerica/2018-11-23/los-aires-de-grandeza-de-sanchez-y-gomez-en-su-llegada-a-cuba-1276628742/</t>
  </si>
  <si>
    <t>Fuerte del Rey, Jaén, España</t>
  </si>
  <si>
    <t>http://www.youtube.com/user/TheBarbazul5</t>
  </si>
  <si>
    <t>Alfredo Galano L.</t>
  </si>
  <si>
    <t>EP | Venezuela</t>
  </si>
  <si>
    <t>Theresa May le saca las garras al gobierno de Pedro Sánchez</t>
  </si>
  <si>
    <t>http://epmundo.com/2018/theresa-may-le-saca-las-garras-al-gobierno-de-pedro-sanchez/</t>
  </si>
  <si>
    <t>https://pbs.twimg.com/media/Dssk13nWwAEJzyC.jpg</t>
  </si>
  <si>
    <t>Baracoa, Cuba</t>
  </si>
  <si>
    <t>Cubano, Ing. Informático .Webmaster de Radio Baracoa</t>
  </si>
  <si>
    <t>http://www.radiobaracoa.icrt.cu</t>
  </si>
  <si>
    <t>Venezuela</t>
  </si>
  <si>
    <t>Noticias de Venezuela y el Mundo en Español. Cadena de Noticias @EP_Mundo Facebook: http://facebook.com/EP.Venezuela</t>
  </si>
  <si>
    <t>http://bit.ly/EP_Venezuela</t>
  </si>
  <si>
    <t>Okdinero</t>
  </si>
  <si>
    <t>Pedro Sánchez prevé un "impulso reformista" en Cuba tras su reunión con Miguel Díaz-Canel</t>
  </si>
  <si>
    <t>https://okdiario.com/economia/empresas/2018/11/23/sanchez-preve-impulso-reformista-cuba-reunion-diaz-canel-3384437?utm_term=Autofeed&amp;utm_medium=Social&amp;utm_source=Twitter#Echobox=1542985797</t>
  </si>
  <si>
    <t>El Cid Volador</t>
  </si>
  <si>
    <t>Mira que tendrá interés Pedro Sánchez por lo de Gibraltar que lo primero que ha hecho ha sido irse a Cuba. Qué manejo de tiempos tiene el tío. Inenarrable. #PedroSánchez #Cuba #Gibraltar</t>
  </si>
  <si>
    <t>Titulares 24 horas</t>
  </si>
  <si>
    <t>Intervención de Pedro Sánchez en la inauguración del Comité Empresarial Cuba-España, en directo</t>
  </si>
  <si>
    <t>En la web</t>
  </si>
  <si>
    <t>Azote de los ceporros, huracán de los cretinos. La vara rebosa. Muuuuuucho. @elcidvolador en http://gab.ai</t>
  </si>
  <si>
    <t>Noticias las 24 horas del dia</t>
  </si>
  <si>
    <t>Akram Richani</t>
  </si>
  <si>
    <t>Pedro Sánchez en Cuba, un viaje sin precedentes en tres décadas</t>
  </si>
  <si>
    <t>https://es.euronews.com/2018/11/23/pedro-sanchez-en-cuba-un-viaje-sin-precendentes-en-tres-decadas</t>
  </si>
  <si>
    <t>https://twitter.com/sanchezcastejon/status/1065718710466428928</t>
  </si>
  <si>
    <t>Adela Cañas Fermín</t>
  </si>
  <si>
    <t>https://ift.tt/2KscPQp</t>
  </si>
  <si>
    <t>En las nubes</t>
  </si>
  <si>
    <t>No hay alivio más grande que comenzar a ser lo que se es</t>
  </si>
  <si>
    <t>CMHZ Radio Cubitas</t>
  </si>
  <si>
    <t>El presidente de los Consejos de Estado y de Ministros, Miguel Díaz-Canel Bermúdez, recibió este jueves al presidente del Gobierno del Reino de España, excelentísimo señor Pedro Sánchez Pérez-Castejón, quien realiza una visita oficial a Cuba.</t>
  </si>
  <si>
    <t>Miami</t>
  </si>
  <si>
    <t>https://bit.ly/2QljCB6</t>
  </si>
  <si>
    <t>https://pbs.twimg.com/media/DssjtHIVsAExuaM.jpg</t>
  </si>
  <si>
    <t>Cuba, Camagüey</t>
  </si>
  <si>
    <t>Web de la Emisora camagüeyana Radio Cubitas compartiendo el acontecer noticioso de Sierra de Cubitas, #Camagüey #Cuba y el Mundo. Sígueme y te sigo #FollowBack</t>
  </si>
  <si>
    <t>http://www.radiocubitas.icrt.cu</t>
  </si>
  <si>
    <t>EP Nacional</t>
  </si>
  <si>
    <t>#ENDIRECTO | Pedro Sánchez inaugura el Foro Empresarial Cuba-España</t>
  </si>
  <si>
    <t>https://bit.ly/2AjDr1m</t>
  </si>
  <si>
    <t>https://pbs.twimg.com/media/DssjvdvWkAELFVr.jpg</t>
  </si>
  <si>
    <t>Twitter oficial del servicio de noticias Nacional de la agencia de noticias Europa Press</t>
  </si>
  <si>
    <t>http://www.europapress.es/nacional/</t>
  </si>
  <si>
    <t>lasizoillo</t>
  </si>
  <si>
    <t>Los .GAL están arrasando entre los seguidores de Pedro Sánchez RT @dinahosting: No te pierdas el Black Friday y el Cyber Monday de dinahosting: 🏷️ Tu .ES, .GAL, .CAT y .EUS a 5€ 🏷️ Hasta un 50% en Hosting SSD 🏷️ Todos los VPS al 30% ¡Y más! Entra y mira:</t>
  </si>
  <si>
    <t>Madrid, Comunidad de Madrid</t>
  </si>
  <si>
    <t>https://twitter.com/dinahosting/status/1065909221508751361?s=19
https://i.gal/blackcyber</t>
  </si>
  <si>
    <t>pic.twitter.com/7nCNPU1AaD</t>
  </si>
  <si>
    <t>mummu</t>
  </si>
  <si>
    <t>No hay 2 sin 3, ¡¡23!!</t>
  </si>
  <si>
    <t>http://lasizoillo.com/</t>
  </si>
  <si>
    <t>Raúl Menchaca López</t>
  </si>
  <si>
    <t>Jefe del gobierno español, Pedro Sánchez, inaugura foro empresarial bilateral en #Cuba @RadioRelojCuban @radiorelojcuba @CimarronCuba</t>
  </si>
  <si>
    <t>La Prensa Real.</t>
  </si>
  <si>
    <t>https://pbs.twimg.com/media/DssjJ63VYAEyVPb.jpg</t>
  </si>
  <si>
    <t>#Periodista y #lector incansable. Veo, vibro, sufro, luego escribo... en #Cuba</t>
  </si>
  <si>
    <t>http://www.radioreloj.cu</t>
  </si>
  <si>
    <t>Información Veraz.</t>
  </si>
  <si>
    <t>prnoticias</t>
  </si>
  <si>
    <t>Parece que dentro del gabinete de Pedro Sánchez no existiría planificación y que cada Ministerio funciona de forma independiente #comunicacion #SanchismoEs</t>
  </si>
  <si>
    <t>https://prnoticias.com/comunicacion/comunicacion-politica/20170809-cuenta-el-gabinete-de-pedro-sanchez-con-una-estrategia-de-comunicacion-cohesionada-y-planificada</t>
  </si>
  <si>
    <t>https://pbs.twimg.com/media/DssjVTwXoAAkSeg.jpg</t>
  </si>
  <si>
    <t xml:space="preserve">España </t>
  </si>
  <si>
    <t>Medio online especializado en #Medios #Comunicación, #Marketing y #Periodismo. Síguenos también en https://www.facebook.com/prnoticias/</t>
  </si>
  <si>
    <t>http://www.prnoticias.com</t>
  </si>
  <si>
    <t>Anxelin</t>
  </si>
  <si>
    <t>VIDEO: Sánchez se reúne con Díaz Canel en primera visita de un presidente español a Cuba en 32 años  via @ActualidadRT</t>
  </si>
  <si>
    <t>https://es.rt.com/6cus</t>
  </si>
  <si>
    <t>http://www.facebook.com/anxelin.yoloxokotl</t>
  </si>
  <si>
    <t>Cs Silleda</t>
  </si>
  <si>
    <t>👉 El #SanchismoEs una negociación hecha en una cárcel por el gobierno de Pedro Sánchez junto con Podemos para que los partidos separatistas voten sus presupuestos.</t>
  </si>
  <si>
    <t>https://pbs.twimg.com/media/DssjOzxWsAE1tYM.jpg</t>
  </si>
  <si>
    <t>Twitter Oficial del Grupo Local de Ciudadanos (Cs) Silleda - Twitter Oficial de Cidadáns (Cs) Silleda</t>
  </si>
  <si>
    <t>https://www.ciudadanos-cs.org</t>
  </si>
  <si>
    <t>Yoani Sánchez</t>
  </si>
  <si>
    <t>Interesante: En #Cuba hay que saber "granmática" (lenguaje oficial) y no tanta gramática... A Pedro Sánchez lo recibe en el aeropuerto un viceministro, no el ministro de relaciones exteriores ni el presidente... @sanchezcastejon #SánchezCuba #DeSánchezASánchez</t>
  </si>
  <si>
    <t>https://pbs.twimg.com/media/DssjHVvVsAAWn2Q.jpg</t>
  </si>
  <si>
    <t>Filóloga y #periodista, vivo en La #Habana y narro mi realidad gracias a la tecnología. Soy directora del diario digital @14ymedio y sueño con una #Cuba #Libre</t>
  </si>
  <si>
    <t>http://14ymedio.com</t>
  </si>
  <si>
    <t>Monty</t>
  </si>
  <si>
    <t>Pedro Sánchez también hace el ridículo en Gibraltar.El Gobierno socialista acusa a Theresa May de cambiar la declaración del Brexit sobre Gibralta,con nocturnidad y alevosía</t>
  </si>
  <si>
    <t>https://www.elmundo.es/espana/2018/11/23/5bf71d09268e3e4c198b460f.html</t>
  </si>
  <si>
    <t>https://pbs.twimg.com/media/DssjGqLWwAEvbcx.jpg</t>
  </si>
  <si>
    <t>YAGO</t>
  </si>
  <si>
    <t>Lo de Pedro Sánchez si que es un Interrail y lo demás son tonterías...</t>
  </si>
  <si>
    <t>Hey! Esta es la cuenta oficial de Twitter de Yago. Aquí podrás encontrar toda la información sobre los trabajos que iremos haciendo. Un saludo!</t>
  </si>
  <si>
    <t>https://www.youtube.com/watch?v=-s4k2a-cyHY</t>
  </si>
  <si>
    <t>Yosbany Montano</t>
  </si>
  <si>
    <t>Pedro Sánchez compromete al Rey de España con una posible visita a Cuba - Engánchate A Lo Cubano</t>
  </si>
  <si>
    <t>https://www.enganchatealocubano.net/pedro-sanchez-compromete-al-rey-de-espana-con-una-posible-visita-a-cuba/</t>
  </si>
  <si>
    <t>Comediante, Jodedor de Tres pares con Dos Cuartos y un Tercio.</t>
  </si>
  <si>
    <t>http://esthetiquecenter.com</t>
  </si>
  <si>
    <t>Bernardo de Miguel</t>
  </si>
  <si>
    <t>La UE ofrece a España una mera declaración sobre Gibraltar. Pendiente de que el presidente del Gobierno, Pedro Sánchez, dé su visto bueno o no desde Cuba...  vía @elpais_inter</t>
  </si>
  <si>
    <t>https://elpais.com/internacional/2018/11/23/actualidad/1542979888_803907.html?id_externo_rsoc=TW_CC</t>
  </si>
  <si>
    <t>Barcelona</t>
  </si>
  <si>
    <t>Bruselas</t>
  </si>
  <si>
    <t>Corresponsal del diario El País en Bruselas / EU correspondent for the Spanish newspaper El País (Spain). Autor de ¿Qué está pasando? (Deusto).</t>
  </si>
  <si>
    <t>http://blogs.cincodias.com/la_ue_del_reves/</t>
  </si>
  <si>
    <t>III Internacional</t>
  </si>
  <si>
    <t>El presidente del Gobierno español Pedro Sánchez ha amenazado con vetar el Brexit al Reino Unido, por no aclarar la cuestión de la soberanía de Gibraltar #España #UK #ReinoUnido #Europa #UE #Brexit #Gibraltar #BuenViernes</t>
  </si>
  <si>
    <t>https://pbs.twimg.com/media/DssiDXaXQAYdCAx.jpg</t>
  </si>
  <si>
    <t>Medio de comunicación marxista leninista, antiimperialista e internacionalista, independiente y antihegemónico para informar a los comunistas de todo el mundo!</t>
  </si>
  <si>
    <t>Télam | España y Cuba se comprometieron a hablar cada año sobre Derechos Humanos</t>
  </si>
  <si>
    <t>http://dlvr.it/QrxKY6</t>
  </si>
  <si>
    <t>https://pbs.twimg.com/media/Dssh9l6VsAACxPL.jpg</t>
  </si>
  <si>
    <t>ESPAÑA</t>
  </si>
  <si>
    <t>Jesús Romero León</t>
  </si>
  <si>
    <t>El IBEX señala el fin del Gobierno de Pedro Sánchez</t>
  </si>
  <si>
    <t>jjmabur</t>
  </si>
  <si>
    <t>#PedroSánchez contra los barones II: la apuesta por el 'superdomingo' augura tensión en el #PSOE</t>
  </si>
  <si>
    <t>https://www.economiadigital.es/politica-y-sociedad/el-ibex-senala-el-fin-del-gobierno-de-pedro-sanchez_590507_102.html</t>
  </si>
  <si>
    <t>https://www.elconfidencial.com/espana/2018-11-23/pedro-sanchez-adelanto-electoral-superdomingo-barones_1663322/?utm_campaign=BotoneraWebapp&amp;utm_source=twitter&amp;utm_medium=social</t>
  </si>
  <si>
    <t>https://pbs.twimg.com/media/Dsq4HAfWkAAUBuP.jpg</t>
  </si>
  <si>
    <t xml:space="preserve">Jerez de la Frontera, Cádiz. </t>
  </si>
  <si>
    <t>Eternamente agradecido.</t>
  </si>
  <si>
    <t>La verdad se corrompe tanto con la mentira como con el silencio. [Málaga]</t>
  </si>
  <si>
    <t>EMBACUBA ESLOVAQUIA</t>
  </si>
  <si>
    <t>#Cuba y #España fortalecen sus relaciones con visita #Presidente Pedro Sanchez quien encontro a #Presidente @DiazCanelB en conversaciones cordiales #SomosCuba #SomosContinuidad @CubaMINREX @YairaJR @HeidyVilluendas RT @DiazCanelB: Recibimos en el Palacio de la Revolución al Presidente de España, Pedro Sánchez. Hemos tenido un primer y cordial encuentro con él en su visita a nuestro país, que apreciamos sinceramente. Se fortalecen las relaciones entre #Cuba y #España. #SomosCuba</t>
  </si>
  <si>
    <t>https://twitter.com/DiazCanelB/status/1065930002380845056</t>
  </si>
  <si>
    <t>República Eslovaca</t>
  </si>
  <si>
    <t>Embassy of #Cuba in Slovakia. Embajada de Cuba en la República Eslovaca.: http://misiones.minrex.gob.cu/es/eslovaquia</t>
  </si>
  <si>
    <t>Diario Despertar de Oaxaca</t>
  </si>
  <si>
    <t>Se reúnen Pedro Sánchez y Miguel Díaz-Canel en La Habana</t>
  </si>
  <si>
    <t>https://ift.tt/2S6loDd</t>
  </si>
  <si>
    <t>Oaxaca</t>
  </si>
  <si>
    <t>Diario Despertar de Oaxaca, La verdad en la información</t>
  </si>
  <si>
    <t>http://www.despertardeoaxaca.com</t>
  </si>
  <si>
    <t>Si Pedro Sánchez le hubiera dedicado la mitad de tiempo y atención al asunto de Gibraltar que a viajar o a Franco igual hasta los ingleses tiraban la verja por no aguantarlo. .</t>
  </si>
  <si>
    <t>Palma de Mallorca</t>
  </si>
  <si>
    <t>Grupo Matienzo</t>
  </si>
  <si>
    <t>¿Piensas que Pedro Sánchez alcanzará algún logro en la negociación sobre Gibraltar?</t>
  </si>
  <si>
    <t>https://www.abc.es/espana/abci-opine-sobre-posibilidades-pedro-sanchez-negociacion-sobre-gibraltar-201811231120_noticia.html</t>
  </si>
  <si>
    <t>Ramales -Cantabria-ESPAÑA</t>
  </si>
  <si>
    <t>Estudio de Ingenieria Agrónoma, Topografía, y Arquitectura.</t>
  </si>
  <si>
    <t>http://www.grupomatienzo.com</t>
  </si>
  <si>
    <t>Pedro Sánchez tras hablar con Theresa May sobre Gibraltar: "Si no hay cambios, vetaremos el Brexit"  via @ActualidadRT</t>
  </si>
  <si>
    <t>https://es.rt.com/6cui</t>
  </si>
  <si>
    <t>15minutos</t>
  </si>
  <si>
    <t>#Latinoamérica: 5 claves del histórico viaje de #PedroSánchez a #Cuba</t>
  </si>
  <si>
    <t>http://bit.ly/2QejZx4</t>
  </si>
  <si>
    <t>https://pbs.twimg.com/media/Dsn1M9vXgAEBDgJ.jpg</t>
  </si>
  <si>
    <t>Policia Municipal Anaco</t>
  </si>
  <si>
    <t>Mundo</t>
  </si>
  <si>
    <t>Algo importante está pasando en tu país y en el mundo. Descúbrelo en nuestro link👇🔥</t>
  </si>
  <si>
    <t>Hernán Díaz, director de @PoliAnaco , destacó que durante un primer procedimiento efectuado en la calle 1ero de Mayo con Caballero Sarmiento quedaron apresados Pedro Sánchez (18) y un adolescente, implicados en el hurto de bombillos en las residencias del casco central.</t>
  </si>
  <si>
    <t>http://www.15minutos.com</t>
  </si>
  <si>
    <t>Anaco, Venezuela</t>
  </si>
  <si>
    <t>Cuenta Oficial del Cuerpo de Policia Municipal Anaco/Anzoategui, Telf: 0282 4256109,</t>
  </si>
  <si>
    <t>Miguelon</t>
  </si>
  <si>
    <t>Es el comienzo de una campaña tan necesaria de ventas en el comercio pero tambien auspiciada por el denostado artículo 41 del ET insertado en una reforma laboral que ni el señor Pedro Sánchez ni los sindicatos tratan tan siquiera de pelear para revocarlo.</t>
  </si>
  <si>
    <t>Badalona,Barcelona,España</t>
  </si>
  <si>
    <t>Madridista catalán. Puedo debatir de lo que sea desde el respeto, la educación y la tolerancia. Huyo de los fanatismos.</t>
  </si>
  <si>
    <t>tio chabó #StopTTIP ❤️💛💜</t>
  </si>
  <si>
    <t>El Gobierno abre la puerta a que Pedro Sánchez plante al Consejo Europeo por el desacuerdo sobre Gibraltar</t>
  </si>
  <si>
    <t>https://ift.tt/2AfmOUK</t>
  </si>
  <si>
    <t>Burujon (Toledo)</t>
  </si>
  <si>
    <t>Luchando dia a dia contra el mal humor, republicano, de izquiedas y soñador. Te informo de lo que pasa diariamente. !!Salud y Republica!!......☭☭☭</t>
  </si>
  <si>
    <t>http://paper.li/lobo_solito/1343408781</t>
  </si>
  <si>
    <t>Antonio Cabo</t>
  </si>
  <si>
    <t>"Vetaremos el Brexit si no hay cambios". El ridículo de Pedro Sánchez ante Theresa May y su venganza por Gibraltar. "A última hora se modificó con nocturnidad y alevosía a petición de la primera ministra británica".</t>
  </si>
  <si>
    <t>D | Radio</t>
  </si>
  <si>
    <t>#PedroSánchez y Diaz-Canel se reunieron y firman memorandos</t>
  </si>
  <si>
    <t>https://www.periodistadigital.com/politica/gobierno/2018/11/23/el-ridiculo-del-inepto-pedro-sanchez-ante-theresa-may-y-su-venganza-por-gibraltar.shtml#.W_gTcFHUNqs.twitter</t>
  </si>
  <si>
    <t>https://cubanosporelmundo.com/2018/11/22/pedro-sanchez-diaz-canel-reunieron-memorandos/?utm_source=dlvr.it&amp;utm_medium=twitter</t>
  </si>
  <si>
    <t>https://pbs.twimg.com/media/DsqKM-MU8AACjN-.jpg</t>
  </si>
  <si>
    <t>Sax - Alicante</t>
  </si>
  <si>
    <t>Católico. Español. Amante de las pequeñas cosas. Licenciado con 'aprobao-raspao' en la Universidad de la Vida.</t>
  </si>
  <si>
    <t xml:space="preserve">Miami </t>
  </si>
  <si>
    <t>pepe blasco</t>
  </si>
  <si>
    <t>La Voz de la Libertad! Pionera en radio por internet, al aire desde 2004</t>
  </si>
  <si>
    <t>Sánchez traslada a Díaz-Canel que “le haría ilusión” que los Reyes visitaran Cuba el próximo año</t>
  </si>
  <si>
    <t>http://www.radionexx.com</t>
  </si>
  <si>
    <t>https://gaceta.es/mundo/pedro-sanchez-propone-la-visita-de-los-reyes-a-cuba-en-2019-20181123-1014/</t>
  </si>
  <si>
    <t>Navalmoral de la Mata</t>
  </si>
  <si>
    <t>Se prudente y respeta; no digas algo que no te guste que te digan a tí</t>
  </si>
  <si>
    <t>Cubahora</t>
  </si>
  <si>
    <t>Maria L. Alba+=+=</t>
  </si>
  <si>
    <t>No Francisco, Borrell está en Cuba con el presidente firmando pactos para tratar sobre los DDHH con los cubanos...</t>
  </si>
  <si>
    <t>https://www.lasexta.com/noticias/nacional/pedro-sanchez-presidente-cuba-diaz-canel-comprometen-hablar-cada-ano-derechos-humanos_201811235bf7a3c90cf25d6</t>
  </si>
  <si>
    <t>Revista digital con artículos de opinión desde la visión de Cuba, coberturas especiales y otros servicios. Somos la primera revista digital de Cuba. Visítanos!</t>
  </si>
  <si>
    <t>Barcelona, España</t>
  </si>
  <si>
    <t>http://www.cubahora.cu</t>
  </si>
  <si>
    <t>Tabarnesa, las personas, los caballos, viajar,</t>
  </si>
  <si>
    <t>Noa</t>
  </si>
  <si>
    <t>[Abro fío] Repasemos, no Pleno pasado: ✏ só o BNG fai propostas de violencia que impliquen deberes á Xunta. A Xunta ten o 90% das competencias pero agora ao PP só lle importa Pedro Sánchez. ✏PP vota contra destinar 1 de cada 100€ ⬇️ #aManadaÉoSistema #EuConPontón</t>
  </si>
  <si>
    <t>https://pbs.twimg.com/media/DspZO25U8AAXwKU.jpg</t>
  </si>
  <si>
    <t>Galiza</t>
  </si>
  <si>
    <t>BNG ☆ Por un mundo diferente desde a GZ do interior. Deputada do @obloque no Parlamento</t>
  </si>
  <si>
    <t>Díaz Canel y Pedro Sánchez asisten en el Hotel Packard de La Habana a sesión del Comité Empresarial Cuba-España @RadioRelojCuban @radiorelojcuba @CimarronCuba</t>
  </si>
  <si>
    <t>https://pbs.twimg.com/media/DssfA8fU8AAW_B6.jpg</t>
  </si>
  <si>
    <t>Pedro Sánchez premia a Torrescámara, constructora investigada en el 'caso Acuamed', y la lleva en su avión a Cuba</t>
  </si>
  <si>
    <t>https://okdiario.com/economia/empresas/2018/11/23/sanchez-premia-constructora-investigada-caso-acuamed-lleva-avion-cuba-3380485#.W_gTOhIczgM.twitter</t>
  </si>
  <si>
    <t>#ULTIMAHORA #PedroSánchez rinde tributo a #JoséMartí en la #Plaza de la #Revolución, muestra de respeto a #Cuba. Le acompaña @RogelioSierraD. Según declaraciones recientes de la #Moncloa, Sánchez otorga la máxima importancia a esta visita  @CubaMINREX</t>
  </si>
  <si>
    <t>http://bit.ly/2DQT58N</t>
  </si>
  <si>
    <t>SuperAgente Kuatro</t>
  </si>
  <si>
    <t>Pedro Sánchez ataca a Theresa May por “nocturnidad y alevosía”  vía @VTActualVE</t>
  </si>
  <si>
    <t>https://www.vtactual.com/es/sanchez-gibraltar/</t>
  </si>
  <si>
    <t>En una mision secreta</t>
  </si>
  <si>
    <t>Chavista radical!</t>
  </si>
  <si>
    <t>http://www.vtactual.com/es</t>
  </si>
  <si>
    <t>http://misiones.minrex.gob.cu/es/italia</t>
  </si>
  <si>
    <t>EP | Mundo</t>
  </si>
  <si>
    <t>► Theresa May le saca las garras al gobierno de Pedro Sánchez</t>
  </si>
  <si>
    <t>El Periódico</t>
  </si>
  <si>
    <t>https://pbs.twimg.com/media/DssfbMcXoAEOdvJ.jpg</t>
  </si>
  <si>
    <t>#PedroSánchez llega a #Cuba y rinde honores a José Martí en #LaHabana</t>
  </si>
  <si>
    <t>Noticias del Mundo. Cadena de Noticias @EP_Mundo</t>
  </si>
  <si>
    <t>http://epmundo.com</t>
  </si>
  <si>
    <t>https://www.elperiodico.com/es/internacional/20181123/pedro-sanchez-cuba-honores-jose-marti-la-habana-7162993</t>
  </si>
  <si>
    <t>manu fa</t>
  </si>
  <si>
    <t>Iglesias asegura que no apoyará a Sánchez para "patrioterismos extraños" en relación con Gibraltar</t>
  </si>
  <si>
    <t>Información, participación y conversación con El Periódico. 🗣️Si te interesa la política, síguenos en Telegram https://telegram.me/elperiodico</t>
  </si>
  <si>
    <t>http://www.elperiodico.com</t>
  </si>
  <si>
    <t>https://www.europapress.es/nacional/noticia-pablo-iglesias-asegura-no-apoyara-pedro-sanchez-patrioterismos-extranos-relacion-gibraltar-20181123115328.html</t>
  </si>
  <si>
    <t>argentina</t>
  </si>
  <si>
    <t>http://oficios2011.blogspot.com.ar</t>
  </si>
  <si>
    <t>Pedro Sánchez tras hablar con Theresa May sobre Gibraltar: “Si no hay cambios, vetaremos el Brexit” #UE #España #ReinoUnido #Gibraltar #Brexit #PedroSánchez #TheresaMay</t>
  </si>
  <si>
    <t>https://laprensareal.wordpress.com/2018/11/22/pedro-sanchez-tras-hablar-con-theresa-may-sobre-gibraltar-si-no-hay-cambios-vetaremos-el-brexit-ue-espana-reinounido-gibraltar-brexit-pedrosanchez-theresamay/</t>
  </si>
  <si>
    <t>https://pbs.twimg.com/media/DspKHfNU8AERVj-.jpg</t>
  </si>
  <si>
    <t>Brexit: Pablo Casado reprocha a Pedro Sánchez que "no llegue a tiempo" a un acuerdo sobre Gibraltar favorable</t>
  </si>
  <si>
    <t>https://okdiario.com/espana/2018/11/23/casado-reprocha-sanchez-que-no-llegue-tiempo-acuerdo-sobre-gibraltar-favorable-3383292#.W_gS2UwbnJw.twitter</t>
  </si>
  <si>
    <t>susana gaviña</t>
  </si>
  <si>
    <t>Entrevista al preso de conciencia cubano José Daniel Ferrer: «Es posible que liberen a presos para decir que la visita de Pedro Sánchez a #Cuba ha sido un éxito»  vía @ABCespana @jdanielferrer @sanchezcastejon</t>
  </si>
  <si>
    <t>https://www.abc.es/espana/abci-jose-daniel-ferrer-posible-liberen-presos-para-decir-visita-pedro-sanchez-cuba-sido-exito-201811230406_noticia.html#ns_campaign=rrss-inducido&amp;ns_mchannel=abc-es&amp;ns_source=tw&amp;ns_linkname=noticia-foto&amp;ns_fee=0</t>
  </si>
  <si>
    <t>Redactora en el diario ABC, ahora en la sección de Internacional, tras casi 20 años en Cultura, con vocación de aprender de todo y de todos, y compartirlo</t>
  </si>
  <si>
    <t>Luis Rudi Alonso</t>
  </si>
  <si>
    <t>Pedro Sánchez va a Cuba para reorganizar el foro de Sao ya que los comunistas de Brasil tienen los días contados</t>
  </si>
  <si>
    <t>Sergio 🇪🇸🇪🇸</t>
  </si>
  <si>
    <t>Señor @Pablo_Iglesias_ espero que lo de que no va a apoyar a Pedro Sánchez por lo que usted define como “patriotismos extraños” sea broma. Le recuerdo que esto ha pasado en sus filas:</t>
  </si>
  <si>
    <t>https://pbs.twimg.com/media/DsseLWHXQAEXXrP.jpg</t>
  </si>
  <si>
    <t xml:space="preserve">Antequera, Málaga </t>
  </si>
  <si>
    <t>El periodismo y la política son mi pasión ||12❤️||Antirreligioso-PSOE🌹-Antitaurino // Gitano // Español y orgulloso, ¡Viva S.M. El Rey! 🇪🇸🇪🇸</t>
  </si>
  <si>
    <t>Pedro Sánchez presume de su viaje a la dictadura cubana y Twitter le masacra: '¡Vividor!'. "A este dictador no tienes que exhumarle porque está vivo".</t>
  </si>
  <si>
    <t>http://www.periodistadigital.com/politica/gobierno/2018/11/23/pedro-sanchez-presume-viaje-dictadura-cubana-twitter-masacra-vividor.shtml</t>
  </si>
  <si>
    <t>observando el cambio</t>
  </si>
  <si>
    <t>Pedro Sánchez presume de su viaje a la dictadura cubana y Twitter le masacra: '¡Vividor!'</t>
  </si>
  <si>
    <t>Buscar la belleza en las cosas sencillas</t>
  </si>
  <si>
    <t>Francisco Camps</t>
  </si>
  <si>
    <t>"A partir de ahora se podrá visitar la isla de oriente a occidente de la mano de @MeliaHotelsInt " expresó ayer nuestro CEO @GabrielEscarrer quien está en #Cuba para participar en un foro empresarial organizado en el marco de la visita de Pedro Sánchez</t>
  </si>
  <si>
    <t>http://ow.ly/AaEu30mJ5Gr</t>
  </si>
  <si>
    <t>https://pbs.twimg.com/media/Dssd95zXoAEgC7m.jpg</t>
  </si>
  <si>
    <t>La Habana - Cuba</t>
  </si>
  <si>
    <t>En La Habana desde 1990. En la actualidad Subdirector General de Melia Hotels International en Cuba http://www.meliacuba.com</t>
  </si>
  <si>
    <t>http://franciscocamps.blogspot.com/</t>
  </si>
  <si>
    <t>Jmdiaz</t>
  </si>
  <si>
    <t>Parece como si no hubieran votado a favor de que Pedro Sanchez fuera presidente del gobierno en su momento RT @CiudadanosCs: #SanchismoEs una corriente vacía de pensamiento a la que solo le importa el poder y está dispuesta a todo para alcanzarlo y mantenerlo. Su miembro fundador es Pedro Sánchez, quien no dudó ni un segundo en pactar con aquellos que quieren romper España para llegar a La Moncloa.</t>
  </si>
  <si>
    <t>https://twitter.com/CiudadanosCs/status/1065938656991563776</t>
  </si>
  <si>
    <t>https://pbs.twimg.com/media/Dsr5fLOWoAIqu4Y.jpg</t>
  </si>
  <si>
    <t>España, Europa, Mundo,</t>
  </si>
  <si>
    <t>No me seguiría a mi mismo. Europeista porcino. Letiziado o barbarie. No entiendo de nada. RT no significa nada en particular Hago hilos de arqueologia.</t>
  </si>
  <si>
    <t>http://Webregistradalaquetengoaquicolgada.com</t>
  </si>
  <si>
    <t>La Hora de La Verdad</t>
  </si>
  <si>
    <t>#Noticias en #LHDLV Ministro Pedro Sánchez amenaza con votar en contra del Brexit.</t>
  </si>
  <si>
    <t>http://www.lahoradelaverdad.com.co/ministro-pedro-sanchez-amenaza-con-votar-en-contra-del-brexit/</t>
  </si>
  <si>
    <t>https://pbs.twimg.com/media/Dssdu11XQAAi9Cg.jpg</t>
  </si>
  <si>
    <t>Bogotá- Colombia</t>
  </si>
  <si>
    <t>Sitio de noticias nacionales e internacionales. Transmitimos a través de @RadioRedCo: Bogotá 970 A.M.; Medellín 710 A.M.; Cali 1200 A.M.</t>
  </si>
  <si>
    <t>http://www.lahoradelaverdad.com.co</t>
  </si>
  <si>
    <t>Periodismo Basura</t>
  </si>
  <si>
    <t>Luego ves al subnormal de @Albert_Rivera pidiendo a Pedro Sánchez reuniones con la escoria disidente cubana. Esto es acojonannnnte RT @eldiarioes: ÚLTIMA HORA | Un juzgado de Madrid cita a Dani Mateo como investigado por "ultraje" a la bandera por sonarse la nariz con ella</t>
  </si>
  <si>
    <t>https://twitter.com/eldiarioes/status/1065961023553892352
http://vertele.eldiario.es/noticias/juzgado-Madrid-Dani-Mateo-investigado_0_2070092984.html</t>
  </si>
  <si>
    <t>https://pbs.twimg.com/media/DssM662W0AAIyYE.jpg</t>
  </si>
  <si>
    <t>Fidelista, Marxista-Leninista, Antimperialista, defensor de la libertad de expresión y del periodismo de excelencia.</t>
  </si>
  <si>
    <t>FRANCISCO</t>
  </si>
  <si>
    <t>Presidente español Pedro Sánchez llega a Cuba para visita oficial</t>
  </si>
  <si>
    <t>http://www.cubaenmiami.com/presidente-espanol-pedro-sanchez-llega-a-cuba-para-visita-oficial/</t>
  </si>
  <si>
    <t>West Palm Beach, FL</t>
  </si>
  <si>
    <t>Hombre de familia, vivo en el exilio desde el 1982.</t>
  </si>
  <si>
    <t>Javi Antón</t>
  </si>
  <si>
    <t>Canción del amor propio, de Ismael Serrano. Dedicada, cómo no, a Pedro Sánchez.</t>
  </si>
  <si>
    <t>https://www.youtube.com/watch?v=zB2Gl9fvjHU</t>
  </si>
  <si>
    <t>Cantabria</t>
  </si>
  <si>
    <t>¡Qué pena morir cuando me queda tanto por leer! (Marcelino Menéndez Pelayo)</t>
  </si>
  <si>
    <t>Salicornia</t>
  </si>
  <si>
    <t>Pedro Sánchez evita condenar la actitud de Gabriel Rufián en el Congreso: "Todos tenemos la culpa" | España🔴Equiparar a maltratadores y maltratados es cooperar con el maltrato.</t>
  </si>
  <si>
    <t>https://www.elmundo.es/espana/2018/11/21/5bf563b4e5fdea305a8b45c1.html</t>
  </si>
  <si>
    <t>👤</t>
  </si>
  <si>
    <t>Manu Corral</t>
  </si>
  <si>
    <t>Esto no se le ha ocurrido a nadie en España: Presidente tiki-taka</t>
  </si>
  <si>
    <t>https://www.welt.de/politik/ausland/article184329420/Spaniens-Premier-Pedro-Sanchez-und-seine-Tiki-Taka-Technik.html?wtrid=onsite.onsitesearch</t>
  </si>
  <si>
    <t>https://pbs.twimg.com/media/DsscutSXoAMbxzm.jpg</t>
  </si>
  <si>
    <t>Soy periodista en http://ELCORREODELSOL.COM y mi lema es ¡Por la Humanidad y por el Planeta!</t>
  </si>
  <si>
    <t>http://www.elcorreodelsol.com</t>
  </si>
  <si>
    <t>Berenice Gómez</t>
  </si>
  <si>
    <t>¿Cómo hacemos con Pedro Sánchez, el gobierno español y los empresario españoles, el papa, Bergoglio que no puede ser más castrista porque daría vergüenza... ? RT @TeLoCuentoNews: Entre las estrategias para llevar a Díaz-Canel y Castro ante la Justicia está exponer la esclavitud de los cubanos enviados fuera de Cuba por su gobierno</t>
  </si>
  <si>
    <t>https://twitter.com/TeLoCuentoNews/status/1065965694360199169
https://buff.ly/2R5ynVG</t>
  </si>
  <si>
    <t>Caracas, Venezuela</t>
  </si>
  <si>
    <t>Periodista de http://tururutururu.com/ También puedes seguirme por mi cuenta personal @berenicegomez52</t>
  </si>
  <si>
    <t>http://tururutururu.com/</t>
  </si>
  <si>
    <t>rokoten</t>
  </si>
  <si>
    <t>https://okdiario.com/espana/2018/11/23/casado-reprocha-sanchez-que-no-llegue-tiempo-acuerdo-sobre-gibraltar-favorable-3383292#.W_gQE6C1JtQ.twitter</t>
  </si>
  <si>
    <t>I've done it</t>
  </si>
  <si>
    <t>ETERNAMENTE CHAVEZ</t>
  </si>
  <si>
    <t>¡¡ EXCELENTE GESTO !! Cuba: Pedro Sánchez entregará en La Habana la silla del General independentista Antonio Maceo</t>
  </si>
  <si>
    <t>https://www.aporrea.org/internacionales/n334644.html</t>
  </si>
  <si>
    <t>Comunidad de Madrid, España</t>
  </si>
  <si>
    <t>Hijo de Curiepeño y Carayaquera.</t>
  </si>
  <si>
    <t>Revolucionario desde los 12 .Humanista.Feminista porq soy hijo y padre de hijas.pasionario.ponderado.sentimental pero energico.indigenista.laborioso.Justo</t>
  </si>
  <si>
    <t>https://okdiario.com/espana/2018/11/23/casado-reprocha-sanchez-que-no-llegue-tiempo-acuerdo-sobre-gibraltar-favorable-3383292#.W_gPsQT-vvo.twitter</t>
  </si>
  <si>
    <t>Aleph</t>
  </si>
  <si>
    <t>Pedro Sánchez, el farsante mitomano habló con Theresa May y reiteró qué hará España si no hay cambios sobre Gibraltar: "Vetaremos el Brexit"</t>
  </si>
  <si>
    <t>https://www.infobae.com/america/mundo/2018/11/23/pedro-sanchez-hablo-con-theresa-may-y-reitero-que-hara-espana-si-no-hay-cambios-sobre-gibraltar-vetaremos-el-brexit/</t>
  </si>
  <si>
    <t>Fer</t>
  </si>
  <si>
    <t>El Alehp</t>
  </si>
  <si>
    <t>Contra las dictaduras, tanto de derecha como de izquierda del color que sean y donde sea. Por una humanidad libre , democrática y justa.</t>
  </si>
  <si>
    <t>Archivo de Salamanca</t>
  </si>
  <si>
    <t>🔴 ¡URGENTE! FIRMA ESTA PETICIÓN: El Gobierno de Pedro Sánchez, cediendo al chantaje de los separatistas en Cataluña, planea un segundo saqueo de documentos del Archivo de Salamanca. ¡FIRMA pinchando en este enlace para evitarlo!:  ¡GRACIAS! @isanseba</t>
  </si>
  <si>
    <t>https://www.citizengo.org/es/node/166670</t>
  </si>
  <si>
    <t>Salamanca</t>
  </si>
  <si>
    <t>Movimiento social contra la desmembración del Archivo de Salamanca. Para que siga siendo de todos y nunca moneda de cambio</t>
  </si>
  <si>
    <t>http://www.salvararchivosalamanca.es</t>
  </si>
  <si>
    <t>Andrés Fernández</t>
  </si>
  <si>
    <t>Pedro Sánchez visita la dictadura de Cuba en medio de la polémica por el enjuiciamiento a un humorista cubano que se sonó la nariz con la bandera.</t>
  </si>
  <si>
    <t>Españistán</t>
  </si>
  <si>
    <t>Albacete</t>
  </si>
  <si>
    <t>Un poco de idas y un poco de venidas.</t>
  </si>
  <si>
    <t>Yadira Escobar</t>
  </si>
  <si>
    <t>Humoristos</t>
  </si>
  <si>
    <t>Escucho en televisión que es "una vergüenza" que Pedro Sánchez no se reúna con la oposición cubana. Vaya, cuando el rey viaja a Arabia Saudí no recuerdo a la prensa exigirle que visite a las familias de las 51 personas decapitadas por el régimen en lo que va de año.</t>
  </si>
  <si>
    <t>Me compré un champú que controla la caída... Pero no sirve, me sigo resbalando en la ducha.</t>
  </si>
  <si>
    <t>Centrist Cuban-American Political Commentator &amp; Analyst, Radio Producer, Writer, Blogger, Artist #Reconciliation Wild Montage CEO http://instagram.com/yadiarte/</t>
  </si>
  <si>
    <t>http://YadiraEscobar.com</t>
  </si>
  <si>
    <t>Radio AM 750</t>
  </si>
  <si>
    <t>#InfoAM750 España mantiene su veto al Brexit pese a que Gibraltar aseguró que había acuerdo. El ministerio de Exteriores del gobierno de Pedro Sánchez aclaró que "no hay cambios" en la posición oficial tras las declaraciones del ministro principal del enclave británico.</t>
  </si>
  <si>
    <t>https://pbs.twimg.com/media/Dssa6zQXQAEq7DM.jpg</t>
  </si>
  <si>
    <t>Buenos Aires, Argentina</t>
  </si>
  <si>
    <t>Radio AM 750 #unaseñal Parte de Grupo Octubre: @pagina12 @DiarioZ, @CarasyCaretasTW, @ElPlanetaUrbano @RadioMalena y + http://facebook.com/AM750</t>
  </si>
  <si>
    <t>https://750.am/</t>
  </si>
  <si>
    <t>DAE❌</t>
  </si>
  <si>
    <t>Siento una gran admiración por Pedro Sánchez ❤</t>
  </si>
  <si>
    <t>IV•IX🚀</t>
  </si>
  <si>
    <t>La Gaceta</t>
  </si>
  <si>
    <t>Pedro Sánchez propone la visita de los Reyes a Cuba en 2019</t>
  </si>
  <si>
    <t>http://bit.ly/2zlCKVS</t>
  </si>
  <si>
    <t>https://pbs.twimg.com/media/DsrUGxQWkAAZIhb.jpg</t>
  </si>
  <si>
    <t>Twitter oficial del periódico La Gaceta del Grupo @Intereconomia. En Facebook: http://www.facebook.com/gaceta.es</t>
  </si>
  <si>
    <t>http://www.gaceta.es</t>
  </si>
  <si>
    <t>Perona M°Jose</t>
  </si>
  <si>
    <t>Feministas!!! #ElPSOEDaSeguridad #GobiernoDeLaDignidad Yo con Pedro Sánchez!!!</t>
  </si>
  <si>
    <t>Spain</t>
  </si>
  <si>
    <t>pic.twitter.com/AKY5loG5Lm</t>
  </si>
  <si>
    <t>Murcia, Región de Murcia</t>
  </si>
  <si>
    <t>Los Socialistas no mueren, Los Socialistas se Siembran!!!</t>
  </si>
  <si>
    <t>Manu Bilbao</t>
  </si>
  <si>
    <t>Presupuestos 2019: Cuando Pedro Sánchez le reprochaba a Mariano Rajoy que Bruselas le había tumbado los presupuestos</t>
  </si>
  <si>
    <t>https://okdiario.com/espana/2018/11/23/cuando-sanchez-reprochaba-rajoy-que-bruselas-habia-tumbado-presupuestos-3380128#.W_gOVg7LcR0.twitter</t>
  </si>
  <si>
    <t>https://twitter.com/FelixLlerenaCUB/status/1065639734746189825</t>
  </si>
  <si>
    <t>https://pbs.twimg.com/media/Dsnpq-rWsAEOEqH.jpg</t>
  </si>
  <si>
    <t>CaraotaDigital</t>
  </si>
  <si>
    <t>Pedro Sánchez aclara que #España rechazará al brexit porque Gibraltar no pertenece al Reino Unido</t>
  </si>
  <si>
    <t>http://bit.ly/2QZhagw</t>
  </si>
  <si>
    <t>Caracas - Venezuela</t>
  </si>
  <si>
    <t>¡Tu portal de #noticias venezolano, donde encontrarás la información directa al grano!</t>
  </si>
  <si>
    <t>CLOD</t>
  </si>
  <si>
    <t>http://caraotadigital.net</t>
  </si>
  <si>
    <t>jikls</t>
  </si>
  <si>
    <t>Pedro Sánchez se pone a discutir por algo que perdimos hace mucho tiempo (Gibraltar) y no mueve un dedo por defender lo que tenemos (Cataluña ). Este tipo siempre va con el paso cambiado</t>
  </si>
  <si>
    <t>Española y Anticorrupta!</t>
  </si>
  <si>
    <t>Trabajo duro para permitirnos los lujos</t>
  </si>
  <si>
    <t>Veo Info</t>
  </si>
  <si>
    <t>https://www.veoinfo.com/el-gobierno-abre-la-puerta-a-que-pedro-sanchez-plante-al-consejo-europeo-por-el-desacuerdo-sobre-gibraltar/</t>
  </si>
  <si>
    <t>https://pbs.twimg.com/media/DssaALrU4AICiPH.jpg</t>
  </si>
  <si>
    <t>El Mundo</t>
  </si>
  <si>
    <t>En Veo Info - La Casa de la Información . Las últimas noticias sobre Política, sucesos, deportes, ciencia, tecnología, y mucho + en Veo Info.</t>
  </si>
  <si>
    <t>http://Veoinfo.com</t>
  </si>
  <si>
    <t>Yanina Gamer</t>
  </si>
  <si>
    <t>Directo | Pedro Sánchez comparece para hacer balance de su vista a Cuba</t>
  </si>
  <si>
    <t>http://dlvr.it/QrxC2b</t>
  </si>
  <si>
    <t>San Telmo Buenos Aires</t>
  </si>
  <si>
    <t>Mi fase actual es que me importa mas jugar al FIFA Mobile que tener amigos pareja o gato</t>
  </si>
  <si>
    <t>Iván</t>
  </si>
  <si>
    <t>Malas noticias pero las wenas son que Pedro Sánchez ya ha empezado la operación cobra: destruir las pseudociencias junto a su buen amigo el astronauta</t>
  </si>
  <si>
    <t>https://elpais.com/elpais/2018/11/21/ciencia/1542793046_378262.html?id_externo_rsoc=TW_CC</t>
  </si>
  <si>
    <t>Galiza.</t>
  </si>
  <si>
    <t>En proceso de metamorfosis</t>
  </si>
  <si>
    <t>Mariela Pérez Valenzuela, periodista Prensa Latina</t>
  </si>
  <si>
    <t>Cuba y España fortalecen nexos con visita de Pedro Sánchez</t>
  </si>
  <si>
    <t>https://www.prensa-latina.cu/index.php?o=rn&amp;id=231025&amp;SEO=cuba-y-espana-fortalecen-nexos-con-visita-de-pedro-sanchez</t>
  </si>
  <si>
    <t>La Habana</t>
  </si>
  <si>
    <t>https://marielaperezvalenzuela.wordpress.com</t>
  </si>
  <si>
    <t>Mara G-B</t>
  </si>
  <si>
    <t>Marlaska avisa a Villarejo si suelta la "bomba final": "El Estado tiene resortes para que no lo pongan en jaque" ¿Admite así Marlasca que el malote de Villarejo dice verdad y que él va a impedir que la dé a conocer?</t>
  </si>
  <si>
    <t>https://www.eldiario.es/politica/Marlaska-Pedro-Sanchez-candidato-Madrid_0_836066553.html</t>
  </si>
  <si>
    <t>Ciudadana del mundo</t>
  </si>
  <si>
    <t>Democracia: Gobierno del pueblo. Pueblo: Los que no gobiernan.</t>
  </si>
  <si>
    <t>ultimocondor</t>
  </si>
  <si>
    <t>Etiquetas: #España, Miguel Díaz-Canel Bermúdez, Pedro Sánchez Pérez-Castejón “Seguiremos atendiendo a la población hasta el último momento”</t>
  </si>
  <si>
    <t>El tema económico concentrará las reuniones del jefe del gobierno de #España Pedro Sánchez en #Cuba  #PedroSánchez #DíazCanel #Economía #RelacionesBilaterales @sanchezcastejon @DiazCanelB</t>
  </si>
  <si>
    <t>https://elultimocondoramericano.wordpress.com/2018/11/23/etiquetas-espana-miguel-diaz-canel-bermudez-pedro-sanchez-perez-castejon-seguiremos-atendiendo-a-la-poblacion-hasta-el-ultimo-momento/</t>
  </si>
  <si>
    <t>https://bit.ly/2qWfDfU</t>
  </si>
  <si>
    <t>https://pbs.twimg.com/media/DsoHRbYVsAA1TxN.jpg</t>
  </si>
  <si>
    <t>https://elultimocondoramericano.wordpress.com/</t>
  </si>
  <si>
    <t>MermeHigueras</t>
  </si>
  <si>
    <t>En las montañas</t>
  </si>
  <si>
    <t>...off</t>
  </si>
  <si>
    <t>Montse 7285</t>
  </si>
  <si>
    <t>Casi la mitad de los 900 subsaharianos rescatados por nuestros barcos en el mar de Alborán han llegado a Málaga...a qué fue Pedro Sánchez a Marruecos..a rezar ante la tumba de sus reyes?</t>
  </si>
  <si>
    <t>Si tú sabes quién eres ..no tienes nada que demostrar. Grupos no , gracias.</t>
  </si>
  <si>
    <t>sergio aravena</t>
  </si>
  <si>
    <t>https://bb8j3.app.goo.gl/mZV5BhA1GahMNcMP8</t>
  </si>
  <si>
    <t>Santiago, Chile</t>
  </si>
  <si>
    <t>Soy Apolitico estoy con las personas que hacen bien a Chile y su gente No tengo religion pero creo en la divinidad y el Mundo lideres con buena voluntad</t>
  </si>
  <si>
    <t>The Objective</t>
  </si>
  <si>
    <t>El presidente español, Pedro Sánchez, se ha ofrecido al dirigente cubano Miguel Díaz-Canel @DiazCanelB a colaborar en el “proceso de transición y apertura en el que está inmerso" el país caribeño</t>
  </si>
  <si>
    <t>http://bit.ly/2PP87Cb</t>
  </si>
  <si>
    <t>https://pbs.twimg.com/media/DssZB8xXQAEUSxR.jpg</t>
  </si>
  <si>
    <t>Periodismo ethos | Conecta con la sensibilidad de la sociedad que define nuestro futuro.</t>
  </si>
  <si>
    <t>http://theobjective.com</t>
  </si>
  <si>
    <t>Janninna</t>
  </si>
  <si>
    <t>Pedro Sanchez se irá de Cuba sin hablar con la disidencia</t>
  </si>
  <si>
    <t>https://pbs.twimg.com/media/DssY9sMW0AA87jt.jpg</t>
  </si>
  <si>
    <t>El perdón llega cuando los recuerdos ya no duelen. JUVENTINA</t>
  </si>
  <si>
    <t>Állvaro de Maeztu,un hombre apasionado</t>
  </si>
  <si>
    <t>Máximos Honores al Presidente Sánchez en Cuba tras 32 años sin visitarla Pedro Sánchez se compromete a hacerlo todos los años y a compartir Productos y Cultura Que bonita es Cuba!!!!!!</t>
  </si>
  <si>
    <t>https://pbs.twimg.com/media/DssY85kWkAAu9OH.jpg</t>
  </si>
  <si>
    <t xml:space="preserve">Pamplona, España </t>
  </si>
  <si>
    <t>http://Politica.La Liga ,Televisión Programas ,TV Series. Entretenimiento, Series Televisión YouTube El Consorcio</t>
  </si>
  <si>
    <t>Ignatius J. Reilly 🇪🇺🧣</t>
  </si>
  <si>
    <t>Es acojonante. El poder ejecutivo diciendo abiertamente que NO RESPETA al poder judicial. Cuando Pedro Sánchez y Pablo Iglesias controlen la justicia y se condene o libere a quien ellos les de la gana vendrán los lamentos. Advertidos estabais. RT @EFEnoticias: El Gobierno "acata pero no respeta" última sentencia del Tribunal de La Manada  #efeminista</t>
  </si>
  <si>
    <t>https://twitter.com/efenoticias/status/1065938064629993473
http://bit.ly/2DTBugv</t>
  </si>
  <si>
    <t>VLL → BCN → TLL → ATH → SKG → AMS → MAD</t>
  </si>
  <si>
    <t>Enemigo del pueblo.</t>
  </si>
  <si>
    <t>http://curiouscat.me/erlik</t>
  </si>
  <si>
    <t>Paco Estévez #RED</t>
  </si>
  <si>
    <t>La falta de apoyo de Pedro Sánchez a Borrell frente a los ataques de Rufián y la destitución del abogado del Estado que veía delito de rebelión en la intentona secesionista del pasado otoño en Cataluña han sembrado el malestar en algunos sectores del PSOE</t>
  </si>
  <si>
    <t>https://www.elconfidencial.com/espana/2018-11-23/psoe-borrell-sanchez-diaz-page-gobierno-rufian_1663606/?utm_source=twitter&amp;utm_medium=social&amp;utm_campaign=BotoneraWeb</t>
  </si>
  <si>
    <t>Alpujarreño residente en Málaga, defensor de la libertad y de la igualdad de oportunidades para tod@s. Comprometido con Ciudadanos para mejorar la sociedad</t>
  </si>
  <si>
    <t>http://www.blog-pacoestevez.es</t>
  </si>
  <si>
    <t>Pedro Sanchez comenzó como todos los comunistas, ya le ha dado en su cuenta kilómetros dos veces la vuelta al mundo</t>
  </si>
  <si>
    <t>talafree #NoTTIP⚒</t>
  </si>
  <si>
    <t>En menos de 7 meses Pedro Sanchez a viajado a más de 10 países. Con un coste de cada viaje de más de 2.000.000€, que obviamente se lo paga el contribuyente. Pero luego diréis que la monarquía nos roba. #SanchismoEs #FelizFinde</t>
  </si>
  <si>
    <t>Metal Rock Oi Lover Talavera de la Reina 🇸🇻 🇪🇸🇦🇹 &amp; West Yorkshire⚒Uk 🇬🇧</t>
  </si>
  <si>
    <t>donDiario.com</t>
  </si>
  <si>
    <t>Marisa Piqueras</t>
  </si>
  <si>
    <t>. @pablocasado_ cree que @sanchezcastejon no puede seguir de presidente si es "tan indigno" como para permitir "que escupan a su ministro"  Via @Favst @EPAndalucia</t>
  </si>
  <si>
    <t>https://bit.ly/2DEWYN3</t>
  </si>
  <si>
    <t>Abderitana en Madrid. Siempre al pie de la noticia para la agencia @europapress Primero en el Congreso de los Diputados y ahora siguiendo al PP.</t>
  </si>
  <si>
    <t>CUBAONU</t>
  </si>
  <si>
    <t>🇨🇺Presidente de #Cuba @DiazCanelB recibió en el Palacio de la Revolución al presidente del Gobierno de #España Pedro Sánchez @sanchezcastejon, quien inició un intenso programa desde su arribo a #LaHabana @CubaMINREX</t>
  </si>
  <si>
    <t>https://pbs.twimg.com/media/DspTqkUVsAA7sp2.jpg</t>
  </si>
  <si>
    <t>NYC</t>
  </si>
  <si>
    <t>MISIÓN PERMANENTE DE LA REPÚBLICA DE CUBA ANTE LA ORGANIZACIÓN DE NACIONES UNIDAS/ Seguidores de #FidelCastro/ #UnblockCuba</t>
  </si>
  <si>
    <t>http://misiones.minrex.gob.cu/es/onu</t>
  </si>
  <si>
    <t>Twitter oficial del diario digital http://donDiario.com . ➡ Facebook: https://www.facebook.com/donDiario/ Instagram: https://www.instagram.com/dondiario</t>
  </si>
  <si>
    <t>http://www.dondiario.com/</t>
  </si>
  <si>
    <t>catymu</t>
  </si>
  <si>
    <t>🈳🐙🈳 Octopus on Fire 🔥</t>
  </si>
  <si>
    <t>Pedro Sánchez me violó. Ya tarda en entregarse a la policía. RT @PSOE: 🙅🏽Hoy conocemos otro fallo doloroso del tribunal de #LaManada. No puede ser que la mujer violada tenga que demostrar más que los violadores ante un tribunal. No puede ser.</t>
  </si>
  <si>
    <t>https://twitter.com/PSOE/status/1065904485590056960
http://cadenaser.com/ser/2018/11/23/tribunales/1542954972_299209.html</t>
  </si>
  <si>
    <t>Follow, RT &amp; fav =/= endorsement. Musician/Mixer/Producer. http://soundcloud.com/octopusonfire-1 MI lista de deseos de Amazon: https://www.amazon.es/gp/registry/wish</t>
  </si>
  <si>
    <t>https://www.discogs.com/user/OctopusOnFire/collection</t>
  </si>
  <si>
    <t>Noticias Canarias</t>
  </si>
  <si>
    <t>Antona ( PP ) : “Pedro Sánchez prefiere reunirse con un dictador en Cuba, que trabajar en…</t>
  </si>
  <si>
    <t>Málaga, España</t>
  </si>
  <si>
    <t>https://goo.gl/fb/DA75EX</t>
  </si>
  <si>
    <t>Islas Canarias</t>
  </si>
  <si>
    <t>Ven a http://www.noticanarias.com, verás cosas muy interesantes te esperamos.....</t>
  </si>
  <si>
    <t>http://www.noticanarias.com</t>
  </si>
  <si>
    <t>Pànic Orfila</t>
  </si>
  <si>
    <t>https://www.elmundo.es/economia/macroeconomia/2018/11/21/5bf542fa46163f8e9e8b4669.html</t>
  </si>
  <si>
    <t>https://m.eldiario.es/_32001629</t>
  </si>
  <si>
    <t>Gijón / Xixón</t>
  </si>
  <si>
    <t>Un grano no hace granero, pero ayuda al compañero. En esta nave en que vamos se necesitan remeros; el puerto es la libertad, el capitán es el Pueblo. L. Pastor</t>
  </si>
  <si>
    <t>http://palencia.cnt.es/2018/10/06/memoria-historica-la-union-de-hermanos-proletarios-uhp-la-revoluci</t>
  </si>
  <si>
    <t>Arquitecto</t>
  </si>
  <si>
    <t>SlayMultimedios</t>
  </si>
  <si>
    <t>Los conservadores españoles apoyarán al Gobierno si finalmente rechaza el Brexit - MADRID (Sputnik) — El líder del Partido Popular, Pablo Casado, afirmó que su formación política apoyará al Gobierno de Pedro Sánchez si f...</t>
  </si>
  <si>
    <t>http://bit.ly/2DT9gm0</t>
  </si>
  <si>
    <t>Chile</t>
  </si>
  <si>
    <t>Hosting, desarrollo y diseño web. Aplicaciones y software a medida.</t>
  </si>
  <si>
    <t>http://www.slaymultimedios.com</t>
  </si>
  <si>
    <t>. @pablocasado_: "El PSOE de Pedro Sánchez y Susana Díaz está volviendo a poner en riesgo las pensiones con la política errática"  Vía @MSalasSalvador</t>
  </si>
  <si>
    <t>https://bit.ly/2r3Bke6</t>
  </si>
  <si>
    <t>ContraTodoPoder</t>
  </si>
  <si>
    <t>¿Cuando Casado llamó golpista a Pedro Sánchez, tampoco hubo tanto revuelo? #PSOE #PedroSanchez #anarquia</t>
  </si>
  <si>
    <t>conxi</t>
  </si>
  <si>
    <t>Madre mia me kedo muerta viendo a pedro sanchez paseando tanto a su mujer ningun presidente paseo tanto la la mujer la de rajoy ni la conosco y esta señora madre mia loke legusta el poder a pedro ke no cumple loke dijo moncion de censura y elecciones donde kedaron sus palabras ay</t>
  </si>
  <si>
    <t>Santa Cruz de Tenerife, Spain</t>
  </si>
  <si>
    <t>Canal para reflexionar sobre el mundo de la política, la cultura y el deporte. Experto en periodismo, edición y escritor.</t>
  </si>
  <si>
    <t>murcia</t>
  </si>
  <si>
    <t>"España es puente de relaciones entre Cuba y la Unión Europea" - MADRID (Sputnik) — La visita del presidente que el Gobierno español Pedro Sánchez se encuentra realizando a Cuba es vista por Madrid com...</t>
  </si>
  <si>
    <t>http://bit.ly/2DShevH</t>
  </si>
  <si>
    <t>VT Actual VE</t>
  </si>
  <si>
    <t>Pedro Sánchez ataca a Teheresa May por "nocturnidad y alevosía" -</t>
  </si>
  <si>
    <t>https://is.gd/r3ksos</t>
  </si>
  <si>
    <t>https://pbs.twimg.com/media/DssXs6PX4AASERS.jpg</t>
  </si>
  <si>
    <t>Distrito Capital, Venezuela</t>
  </si>
  <si>
    <t>Síguenos en todas nuestras redes sociales: •IG: vtactualahora •FB: @vtactualvenezuela •YT: VTactual ahora</t>
  </si>
  <si>
    <t>https://www.vtactual.com/es/</t>
  </si>
  <si>
    <t>Nemesis</t>
  </si>
  <si>
    <t>2 pasiones que parecen vicio,la lectura devoro libros me agrada el ritual de comprarlos y evadirme ,la otra pasión es la música pero desde el año 1998 Malú</t>
  </si>
  <si>
    <t>Francisco Javier</t>
  </si>
  <si>
    <t>El Gobierno abre la puerta a que Pedro Sánchez plante al Consejo Europeo por el desacuerdo sobre Gibraltar  vía @eldiarioes</t>
  </si>
  <si>
    <t>Talavera de la Reina</t>
  </si>
  <si>
    <t>Treinta y algunos. Contiene trazas de política, historia y de mi vida que no le interesan a nadie.</t>
  </si>
  <si>
    <t>Tuiteo Merida</t>
  </si>
  <si>
    <t>#PedroSánchez no tiene previsto reunirse con Raúl Castro</t>
  </si>
  <si>
    <t>Pedro Sánchez visita Cuba en medio de apertura económica</t>
  </si>
  <si>
    <t>http://bit.ly/2zngPh1</t>
  </si>
  <si>
    <t>https://cubanosporelmundo.com/2018/11/22/pedro-sanchez-reunirse-raul-castro/?utm_source=dlvr.it&amp;utm_medium=twitter</t>
  </si>
  <si>
    <t>https://pbs.twimg.com/media/Dsm1fFXVAAA6Nco.jpg</t>
  </si>
  <si>
    <t>@TuiteoMerida disponible para reportar InfoCiudad las 24 horas vía Menciones ¡Síguenos!</t>
  </si>
  <si>
    <t>Periodista Digital</t>
  </si>
  <si>
    <t>Este es el verdadero cantinero de Cuba, Cuba</t>
  </si>
  <si>
    <t>Influir en la gente que influye. Síguenos también en https://www.facebook.com/PeriodistaDigit</t>
  </si>
  <si>
    <t>https://www.elmundo.es/internacional/2018/11/22/5bf6946b268e3eeb2c8b45c4.html</t>
  </si>
  <si>
    <t>Juan Alonso Velarde</t>
  </si>
  <si>
    <t>http://www.youtube.com/channel/UCT6Zy6dkQsfxARRlPOjbn0A</t>
  </si>
  <si>
    <t>Angel Alda</t>
  </si>
  <si>
    <t>"El Gobierno abre la puerta a que Pedro Sánchez plante al Consejo Europeo por el desacuerdo sobre Gibraltar" Parece que en Bruselas se toman a chunga el ultimátum de Pedro Sánchez. No saben que se enfrentan al rey del farol. Mejor que se rindan.</t>
  </si>
  <si>
    <t>https://www.elmundo.es/espana/2018/11/21/5bf5ab23e2704ea02f8b4581.html</t>
  </si>
  <si>
    <t>https://m.eldiario.es/politica/Gobierno-Sanchez-Consejo-Europeo-Gibraltar_0_838866473.amp.html</t>
  </si>
  <si>
    <t>Paseante en Cortes Digitales. Observador de la calle que pasa debajo de casa. Y poco mas. Yo iré dando datos</t>
  </si>
  <si>
    <t>http://elangeldeolavide.blogspot.com/</t>
  </si>
  <si>
    <t>Antonio Oneto</t>
  </si>
  <si>
    <t>Don @jschaulsohn eso de la "generalitat" quedó en el pasado. Ahora Cataluña declaró su independencia de España y España no sabe que hacer. Los dirigentes independentistas están presos, o en el exilio o colaborando con Pedro Sanchez para mantenerlo en el poder. RT @jschaulsohn: El Estado de Chile deberia establecer una especie de "generalitat" como cataluña para el pueblo mapuche que tenga su propio estatuto jurídico sin afectar la integridad territorial del país</t>
  </si>
  <si>
    <t>https://twitter.com/jschaulsohn/status/1065910969174552576</t>
  </si>
  <si>
    <t>Chile-Viña del Mar</t>
  </si>
  <si>
    <t>Abogado de Viña del Mar. Las palabras construyen la realidad.</t>
  </si>
  <si>
    <t>http://www.abogadooneto.cl</t>
  </si>
  <si>
    <t>Carmen Padial</t>
  </si>
  <si>
    <t>Soy la única que no entiende porque la mujer de Pedro Sánchez también va a cuba?</t>
  </si>
  <si>
    <t>Granada, España</t>
  </si>
  <si>
    <t>He pasado de creer en el poder de las palabras a creer en las manos y en las personas. Pasé el cuarto de siglo pero no dí el estirón, bievenid@s</t>
  </si>
  <si>
    <t>Sergio</t>
  </si>
  <si>
    <t>Pedro Sánchez y su mujercita Begoña Gómez han ido a Cuba a acordar un canal regular de diálogo sobre derechos humanos. Me pregunto si ese diálogo correrá a cargo de Otegi, Rufian, Pablo Iglesias o Kim Jong-Torra.</t>
  </si>
  <si>
    <t>Reino de España 🇪🇸</t>
  </si>
  <si>
    <t>Conservador, liberal y monárquico.</t>
  </si>
  <si>
    <t>CCOO endesa</t>
  </si>
  <si>
    <t>Pedro Sánchez anuncia un plan económico con una inminente reforma laboral  vía @expansioncom</t>
  </si>
  <si>
    <t>http://www.expansion.com/economia/2018/11/12/5be9e4b2e2704e90858b4583.html</t>
  </si>
  <si>
    <t>- ¿Contra qué podemos luchar? - ¿Nosotros? ¿Luchar? - Sí. - Contra el mal, querido amigo. El mal es. Sin duda ninguna.</t>
  </si>
  <si>
    <t>http://WWW.CCOOENDESA.COM</t>
  </si>
  <si>
    <t>entuMovil.cu</t>
  </si>
  <si>
    <t>Radio Habana Cuba | Culmina este viernes visita oficial de Pedro Sánchez a Cuba:</t>
  </si>
  <si>
    <t>http://www.radiohc.cu/noticias/nacionales/177257-culmina-este-viernes-visita-oficial-de-pedro-sanchez-a-cuba</t>
  </si>
  <si>
    <t>https://www.elmundo.es/economia/macroeconomia/2018/11/22/5bf5c0a2468aebbd188b467e.html</t>
  </si>
  <si>
    <t>Habana, Cuba</t>
  </si>
  <si>
    <t>Grupo que desarrolla aplicaciones informáticas y para dispositivos móviles, además de servicios de valor agregado a la telefonia móvil. Perteneciente a Desoft.</t>
  </si>
  <si>
    <t>http://www.entumovil.cu</t>
  </si>
  <si>
    <t>GATA</t>
  </si>
  <si>
    <t>Vía Euronews: Pedro Sánchez en Cuba, un viaje sin precendentes en tres décadas</t>
  </si>
  <si>
    <t>Fernando M. Lainez</t>
  </si>
  <si>
    <t>Theresa May advierte a Pedro Sánchez de que protegerá la "soberanía británica" de Gibraltar  vía @elmundoes</t>
  </si>
  <si>
    <t>https://www.elmundo.es/internacional/2018/11/22/5bf6b01b468aeb352a8b463a.html</t>
  </si>
  <si>
    <t>Escritor y periodista.</t>
  </si>
  <si>
    <t>Liverdades</t>
  </si>
  <si>
    <t>http://dlvr.it/Qrx856</t>
  </si>
  <si>
    <t>https://pbs.twimg.com/media/DssWO2hUUAAhx8H.jpg</t>
  </si>
  <si>
    <t>Medio digital de opinión política, filosófica y social. Tu opinión es lo más importante. En Facebook https://www.facebook.com/liverdades.es/</t>
  </si>
  <si>
    <t>http://liverdades.com/</t>
  </si>
  <si>
    <t>Anonymous ES 🏳️‍🌈</t>
  </si>
  <si>
    <t>Internet</t>
  </si>
  <si>
    <t>Somos un grupo de personas apasionadas del mundo Hacker. No somos ni de izquierdas ni de derechas.España para su gente. anonymuses@outlook.com</t>
  </si>
  <si>
    <t>ElTocuyano</t>
  </si>
  <si>
    <t>http://bit.ly/2FG782D</t>
  </si>
  <si>
    <t>https://pbs.twimg.com/media/DssWIGsXcAAjrbg.jpg</t>
  </si>
  <si>
    <t>Estoy especializado en marketing de guerrilla y en persuabilidad aplicados al social media.</t>
  </si>
  <si>
    <t>Dama Juana</t>
  </si>
  <si>
    <t>Pedro Sánchez ha ido a la Habana a desenterrar a Fidel Castro. Él es mucho de desenterrar dictadores.</t>
  </si>
  <si>
    <t>Estoy en una edad tan mala, que lo mismo te mato a besos que a hostias. No me lo tengas en cuenta. Vasca y de Clemente.</t>
  </si>
  <si>
    <t>Jaime Ballesteros</t>
  </si>
  <si>
    <t>El nivel de indecencia de Pedro Sánchez se supera por momentos.</t>
  </si>
  <si>
    <t>https://pbs.twimg.com/media/DssV9itXgAAMfyS.jpg</t>
  </si>
  <si>
    <t>Móstoles, Madrid, España</t>
  </si>
  <si>
    <t>Personalidad demasiado introvertida, pero si logro abrirme, es distinto. Social Media, Gamer, Pokemaníaco (a mucha honra), #LET.</t>
  </si>
  <si>
    <t>http://www.youtube.com/channel/UCGA1_eec552ZWn41Fzl5x5A/videos</t>
  </si>
  <si>
    <t>alvaro jimenez</t>
  </si>
  <si>
    <t>Carlos Amarras 🇪🇸</t>
  </si>
  <si>
    <t>Cuando oigo a Pedro Sánchez decir en Cuba "Preveemos” tengo muy claro que muchos españoles prevemos que le queda poquito tiempo en la Presidencia. #DesdeCubaConAmor #EleccionesYa #ÚltimaHora #BlackFriday2018 #FelizFinde #23Noviembre #SánchezCumFraude #Cuba #Vergüenza</t>
  </si>
  <si>
    <t>https://pbs.twimg.com/media/DssVetqX4AA33BC.jpg</t>
  </si>
  <si>
    <t>Sevilla-Murcia-VLC ➰ Spain 🇪</t>
  </si>
  <si>
    <t>♐ ⚫ Marketing &amp; Publicidad ⚫ Periodismo ⚫ Naturaleza Animal ⚫ Pianista ⚫ Jinete ⚫ Motor ⚫ TKD ⚫ Club Lector 10 ⚫ Zurdo ⚫OTAKU</t>
  </si>
  <si>
    <t>Inma Gómez.</t>
  </si>
  <si>
    <t>Decepcionada porque resulta que el Sanchismo (TT ahora mismo en Twitter) tiene que ver con Pedro Sánchez y no con Sancho Panza.</t>
  </si>
  <si>
    <t>Huelva - Cádiz</t>
  </si>
  <si>
    <t>Mariposa morada entre bambú...</t>
  </si>
  <si>
    <t>superole</t>
  </si>
  <si>
    <t>#SanchismoEs ya tiene sus frutos la visita de Pedro Sánchez a Marruecos: la llegada de casi mil inmigrantes en patera</t>
  </si>
  <si>
    <t>Ahora que Pablo Iglesias puede presumir de su proyecto habitacional, yo puedo presumir de mi proyecto de movilidad</t>
  </si>
  <si>
    <t>Andrés Zapater Gil</t>
  </si>
  <si>
    <t>Q fracasó el gobierno de pedro Sánchez , respecto al Peñón . Q dejadez y así todo.</t>
  </si>
  <si>
    <t>he sido empresario y ahora pensionado.</t>
  </si>
  <si>
    <t>https://www.elboletin.com/noticia/169484/nacional/el-pnv-no-cierra-la-puerta-a-los-presupuestos-y-culpa-a-rajoy-de-parte-del-varapalo-de-bruselas.html</t>
  </si>
  <si>
    <t>Gaspar de Castilla</t>
  </si>
  <si>
    <t>De Pedro Sánchez? RT @okdiario: Salvador: “He recibido whatsApp de diputados socialistas” apoyándome</t>
  </si>
  <si>
    <t>https://twitter.com/okdiario/status/1065542671756857345
https://okdiario.com/espana/2018/11/22/salvador-he-recibido-whatsapp-diputados-socialistas-apoyandome-3379012?utm_term=Autofeed&amp;utm_campaign=ok&amp;utm_medium=Social&amp;utm_source=Twitter#Echobox=1542880144</t>
  </si>
  <si>
    <t>Andalucía, Spain</t>
  </si>
  <si>
    <t>Por un país en el que todos seamos iguales ante la ley, sin privilegios feudales y sin regiones olvidadas. Escritor nacido en la Mancha en 1558.</t>
  </si>
  <si>
    <t>Alberto Moreno</t>
  </si>
  <si>
    <t>"Es agradable comprobar que temas tan serios y complejos como el Brexit el gobierno de España los tiene en manos de personas con sentimientos como Marco Aguiriano". Por @manupinon</t>
  </si>
  <si>
    <t>https://www.revistavanityfair.es/poder/articulos/marco-aguiriano-brexit-ue-theresa-may-pedro-sanchez-este-es-el-hombre-mas-indiscreto-de-europa/34843</t>
  </si>
  <si>
    <t>I really, really love you, but I’ve chosen noodles. (Editor in Chief @VanityFairSpain)</t>
  </si>
  <si>
    <t>http://www.revistavanityfair.es</t>
  </si>
  <si>
    <t>Austen</t>
  </si>
  <si>
    <t>España humillada por Inglaterra y la UE, y Pedro Sánchez en Cuba</t>
  </si>
  <si>
    <t>Alex Benra</t>
  </si>
  <si>
    <t>A Pedro Sánchez "le han metido un gol" con el texto de Gibraltar</t>
  </si>
  <si>
    <t xml:space="preserve">Vigo, Madrid, España   </t>
  </si>
  <si>
    <t>Politólogo</t>
  </si>
  <si>
    <t>Sulia Paez</t>
  </si>
  <si>
    <t>Our president Miguel Diaz-Canel met in Havana, #Cuba, Spain president Pedro Sánchez. RT @DiazCanelB: Recibimos en el Palacio de la Revolución al Presidente de España, Pedro Sánchez. Hemos tenido un primer y cordial encuentro con él en su visita a nuestro país, que apreciamos sinceramente. Se fortalecen las relaciones entre #Cuba y #España. #SomosCuba</t>
  </si>
  <si>
    <t>https://twitter.com/diazcanelb/status/1065930002380845056</t>
  </si>
  <si>
    <t>Antoniox Valero Deff</t>
  </si>
  <si>
    <t>http://dlvr.it/Qrx6Pk</t>
  </si>
  <si>
    <t>Maracay</t>
  </si>
  <si>
    <t>Estudiante de Odontologia UC..Pa Lante... #DALE247 egresado 2da cohorte @preparatevzla adelante Venezuela los necesitamos a todos!!!! #ProhibidoRendirse</t>
  </si>
  <si>
    <t>http://paper.li/VAntoniox/1323279578#</t>
  </si>
  <si>
    <t>Manolomp</t>
  </si>
  <si>
    <t>A @sanchezcastejon las unas dictaduras que les van son las comunistas o es que debe estar a punto de plagiarla para España😏</t>
  </si>
  <si>
    <t>https://okdiario.com/espana/2018/11/23/pedro-sanchez-reune-cupula-del-regimen-cubano-palacio-revolucion-3382388</t>
  </si>
  <si>
    <t>me cago en la bandera república , me cago en todos los lacisnazis , me cago en quien mancille a España , me cago quien no respeta a nuestra fuerzas de segurida.</t>
  </si>
  <si>
    <t>German Margheritti</t>
  </si>
  <si>
    <t>El presidente cubano, Miguel Díaz-Canel, y su par español, Pedro Sánchez, mantuvieron un histórico encuentro oficial, el primero en 32 años entre mandatarios de ambos países, en el que se comprometieron a mantener contactos políticos anuales para discutir sobre derechos humanos</t>
  </si>
  <si>
    <t>Córdoba, Argentina</t>
  </si>
  <si>
    <t>Periodista. Corresponsal.</t>
  </si>
  <si>
    <t>https://www.facebook.com/Germ%C3%A1n-Margheritti-275371036175792/</t>
  </si>
  <si>
    <t>El Municipio</t>
  </si>
  <si>
    <t>➡️La Comisión, el FMI y la OCDE destrozan la política económica de Pedro Sánchez 👉 vía @Elmunicipio.es - Por una sociedad de hombres libres</t>
  </si>
  <si>
    <t>https://www.elmundo.es/espana/2018/11/21/5bf5c33022601d4e5a8b45c0.html</t>
  </si>
  <si>
    <t>https://elmunicipio.es/2018/11/destrozan-la-politica-economica-de-pedro-sanchez/</t>
  </si>
  <si>
    <t>Periódico Digital de información general que aboga por una sociedad de hombres libres. 🇪🇸 Ayúdanos con un donativo 👉 https://elmunicipio.es/donativos/ 🇪🇸</t>
  </si>
  <si>
    <t>http://elmunicipio.es/</t>
  </si>
  <si>
    <t>Diario de Cuba</t>
  </si>
  <si>
    <t>Pedro Fernandez Lema</t>
  </si>
  <si>
    <t>Pedro Sánchez viajará a Cuba y pedirá que se exhume al dictador Fidel Castro y se prohiba hacerle homenajes. Vamos, digo yo. #SanchismoEs</t>
  </si>
  <si>
    <t>Lee hoy la Cuba de mañana. También puedes seguir nuestras cuentas: @DDC_recomienda y @Todo_sobre_Cuba.</t>
  </si>
  <si>
    <t>http://www.diariodecuba.com</t>
  </si>
  <si>
    <t>Tyler Durdem</t>
  </si>
  <si>
    <t>Son tan grandes las ganas de #Pedro Sanchez y Begoña Gomez de ser jefes de estado que siguen los mismos pasos que los monarcas en #Cuba,incluso a ellos tampoco les ha votado nadie!</t>
  </si>
  <si>
    <t>EmbaCubaChequia</t>
  </si>
  <si>
    <t>Presidente de los Consejos de Estado y de Ministros, Miguel #DíazCanel Bermúdez, recibió al presidente del Gobierno del Reino de #España, Pedro Sánchez Pérez-Castejón, en visita oficial a #Cuba.</t>
  </si>
  <si>
    <t>https://pbs.twimg.com/media/DssTrfIXgAUM6Om.jpg</t>
  </si>
  <si>
    <t>Jinonicka 14, Kosire, Praga 5</t>
  </si>
  <si>
    <t>Sitio oficial de la Embajada de Cuba en República Checa. Seguidores de #FidelCastro</t>
  </si>
  <si>
    <t>http://misiones.minrex.gob.cu/es/republica-checa</t>
  </si>
  <si>
    <t>El Tocuyo</t>
  </si>
  <si>
    <t>http://bit.ly/2QhxDzx</t>
  </si>
  <si>
    <t>Tuiteo Cabudare</t>
  </si>
  <si>
    <t>http://bit.ly/2Fyl8vg</t>
  </si>
  <si>
    <t>Cabudare - Palavecino</t>
  </si>
  <si>
    <t>Comparte Infociudad - síguenos y te seguimos, Reporta vía DM o Mención en @TuiteoCabudare ¡Entérate!</t>
  </si>
  <si>
    <t>El Periodista Camorrista</t>
  </si>
  <si>
    <t>Que dice @Pablo_Iglesias_ que no apoyará a Pedro Sánchez para "patrioterismos extraños" con Gibraltar: 🇦🇷¡Malvinas Argentinas! 🗣¡Muy bien! 🇪🇸¡Gibraltar español! 🗣¡Calla, FACHA!</t>
  </si>
  <si>
    <t>https://pbs.twimg.com/media/DssTW0mWkAEcOi0.jpg</t>
  </si>
  <si>
    <t>🎥https://www.youtube.com/c/ElPeriodistaCamorrista Azote de los Independentistas y de todos los que Odian a España. Política, Sociedad y Actualidad. 🍊🇪🇸🇪🇺</t>
  </si>
  <si>
    <t>https://www.youtube.com/c/ElPeriodistaCamorrista</t>
  </si>
  <si>
    <t>Emily Habsburg</t>
  </si>
  <si>
    <t>Sánchez contra los barones II: la apuesta por el 'superdomingo' augura tensión en el PSOE</t>
  </si>
  <si>
    <t>https://www.elconfidencial.com/espana/2018-11-23/pedro-sanchez-adelanto-electoral-superdomingo-barones_1663322/</t>
  </si>
  <si>
    <t>Vienna-Marbella (AUT-ESP)</t>
  </si>
  <si>
    <t>♔🇦🇹INDIVISIBILITER AC INSEPARABILITER🇪🇸♔ #History #Liberal #WesternCivilization #AEIOU #WakeUpEurope #StopIslamicFascism ن🇪🇺🇮🇱☤</t>
  </si>
  <si>
    <t>Diana Ortega</t>
  </si>
  <si>
    <t>El acertado viaje del Presidente. La visita de Pedro Sánchez a Cuba, en el marco del Acuerdo de Diálogo Político y Cooperación UE-Cuba, es probablemente uno de los viajes más importantes que el presidente de Gobierno va a realizar durante su mandato.</t>
  </si>
  <si>
    <t>https://elpais.com/elpais/2018/11/22/opinion/1542908540_668282.html</t>
  </si>
  <si>
    <t>https://pbs.twimg.com/media/DssTTnhW0AAwjps.jpg</t>
  </si>
  <si>
    <t>https://www.libertaddigital.com/espana/2018-11-21/pedro-sanchez-pide-a-casado-y-rufian-que-pidan-discupas-por-el-escupitajo-de-erc-a-borell-1276628638/</t>
  </si>
  <si>
    <t>Madrid - Bogotá - Luxemburgo</t>
  </si>
  <si>
    <t>Economista. Socialdemócrata. Runner. Banca de inversión: Rel institucionales. Viajera incansable. Aquí solo opiniones personales</t>
  </si>
  <si>
    <t>http://agendapublica.elperiodico.com/analistas/diana-ortega/</t>
  </si>
  <si>
    <t>Jorge Martínez</t>
  </si>
  <si>
    <t>Theresa May, señora que me cae muy mal, se refirió al tema de Gibraltar en: -Debate en el Parlamento Británico -Comparecencia ante los medios -Declaraciones a la BBC -Un tuit Pedro Sánchez, señor que me cae muy mal, se refirió al tema de Gibraltar en: -Un tuit Así nos va</t>
  </si>
  <si>
    <t>Fuerteventura</t>
  </si>
  <si>
    <t>Español nacido en Asturias y desterrado laboralmente como Unamuno a Fuerteventura. Liberal y activista por la cultura del humor</t>
  </si>
  <si>
    <t>Lino Rafael Díaz</t>
  </si>
  <si>
    <t>https://okdiario.com/economia/empresas/2018/11/23/sanchez-premia-constructora-investigada-caso-acuamed-lleva-avion-cuba-3380485#.W_gGo1bk9yw.twitter</t>
  </si>
  <si>
    <t>Sevilla, Andalucía</t>
  </si>
  <si>
    <t>Soltero, Betico, con ganas de seguir creciendo, Parado y buscando nuevos retos. Soltero y todavia entero.</t>
  </si>
  <si>
    <t>PrensaMoran</t>
  </si>
  <si>
    <t>El Jojoto</t>
  </si>
  <si>
    <t>http://bit.ly/2PUaMuI</t>
  </si>
  <si>
    <t>https://pbs.twimg.com/media/DssS9rJWoAASO7P.jpg</t>
  </si>
  <si>
    <t>https://www.facebook.com/pages/Prensa-Moran/458757464247068?ref=tn_tnmn</t>
  </si>
  <si>
    <t>Desgranamos la noticia. Buscanos tambien en Facebook: (El Jojoto) Síguenos en Minds https://www.minds.com/ElJojoto</t>
  </si>
  <si>
    <t>http://www.eljojoto.com/</t>
  </si>
  <si>
    <t>Intervención de Pedro Sánchez en Cuba, en directo</t>
  </si>
  <si>
    <t>https://ift.tt/2DDuFPg</t>
  </si>
  <si>
    <t>Tuiteo Aragua</t>
  </si>
  <si>
    <t>http://bit.ly/2zq33Kk</t>
  </si>
  <si>
    <t>cuenta disponible para reportar InfoCiudad las 24 horas</t>
  </si>
  <si>
    <t>https://www.facebook.com/TuiteoAragua</t>
  </si>
  <si>
    <t>JUSTA</t>
  </si>
  <si>
    <t>¡MENOS MAL QUE "EN PARTE DEL GOBIERNO DE PEDRO SÁNCHEZ" SE EMPIEZA A RAZONAR!!  vía @elmundoes</t>
  </si>
  <si>
    <t>https://www.elmundo.es/espana/2018/11/20/5bf329dc468aeb4f5a8b459e.html</t>
  </si>
  <si>
    <t>TENGO UN GRAN SENTIDO DE LA JUSTICIA Y UNA COSA MUY CLARA: ¡¡QUIEN NO QUIERA A ESPAÑA....QUE SE VAYA!!</t>
  </si>
  <si>
    <t>Liberal Enfurruñada</t>
  </si>
  <si>
    <t>Reino Unido se compromete a contar con España para negociar el futuro de Gibraltar pero en un documento anexo de declaraciones. Pedro Sánchez se baja los pantalones otra vez. España no se merece a este presidente okupa al que no quieren ni en su partido</t>
  </si>
  <si>
    <t>https://www.abc.es/espana/abci-reino-unido-compromete-contar-espana-para-negociar-futuro-gibraltar-201811231439_noticia.html#ns_campaign=rrss-inducido&amp;ns_mchannel=abc-es&amp;ns_source=tw&amp;ns_linkname=noticia-foto&amp;ns_fee=0</t>
  </si>
  <si>
    <t>Por la libertad, así como por la honra, se puede y debe aventurar la vida. @okdiario https://www.facebook.com/muyliberal Frases Liberales: https://goo.gl/5dpESU</t>
  </si>
  <si>
    <t>https://okdiario.com/autor/liberal</t>
  </si>
  <si>
    <t>La Razón de México</t>
  </si>
  <si>
    <t>#Opinión Republicanismo: democracia participativa, escribe Pedro Sánchez Rodríguez (@hastaelPeter)</t>
  </si>
  <si>
    <t>https://goo.gl/SVHNhp</t>
  </si>
  <si>
    <t>México</t>
  </si>
  <si>
    <t>Conoce las noticias más importantes, porque una persona informada siempre tiene La Razón</t>
  </si>
  <si>
    <t>http://www.razon.com.mx/</t>
  </si>
  <si>
    <t>Jose #Cuba</t>
  </si>
  <si>
    <t>#Cuba #SánchezIndigno José Daniel Ferrer: «Es posible que liberen a presos para decir que la visita de Pedro Sánchez a Cuba ha sido un éxito»</t>
  </si>
  <si>
    <t>Sólo en las ideas esenciales de dignidad y libertad se debe ser espinoso como un erizo, y recto, como un pino. José Marti #Cuba Libre!!! 🇪🇸🇨🇺🇦🇷#Galicia Barça</t>
  </si>
  <si>
    <t>Tuiteo Valencia</t>
  </si>
  <si>
    <t>https://mundo.sputniknews.com/americalatina/201811211083595450-como-influira-la-visita-de-pedro-sanchez-a-cuba/</t>
  </si>
  <si>
    <t>http://bit.ly/2DUsgk3</t>
  </si>
  <si>
    <t>@TuiteoValencia cuenta twitter disponible para reportar InfoCiudad las 24 horas @GrupoTuiteo</t>
  </si>
  <si>
    <t>GolpeTocuyano</t>
  </si>
  <si>
    <t>Pedro Sánchez visita Cuba en medio de apertura económica ➨</t>
  </si>
  <si>
    <t>http://bit.ly/2DTxufQ</t>
  </si>
  <si>
    <t>https://pbs.twimg.com/media/DssR5rzWwAUxnnq.jpg</t>
  </si>
  <si>
    <t>Miguel</t>
  </si>
  <si>
    <t>https://www.periodistadigital.com/politica/gobierno/2018/11/23/pedro-sanchez-presume-viaje-dictadura-cubana-twitter-masacra-vividor.shtml#.W_gFIp0eLKE.twitter</t>
  </si>
  <si>
    <t>El pensamiento liberal se fundamenta en el reconocimiento y garantía de los derechos individuales.</t>
  </si>
  <si>
    <t>LexTresAbogados</t>
  </si>
  <si>
    <t>Mirentxu Castro</t>
  </si>
  <si>
    <t>https://ift.tt/2R8Rb6n</t>
  </si>
  <si>
    <t>Valencia, España</t>
  </si>
  <si>
    <t>#LexTresAbogados prestamos: #servicios de #auditoría #asesoramiento #legal #fiscal #Laboral #financiero y de #negocio con una clara #focalización #sectorial</t>
  </si>
  <si>
    <t>http://www.lextres.com</t>
  </si>
  <si>
    <t>Soy una persona alegre extrovertida que le gusta la música, pintura y el arte en general .Creo que una sonrisa es la mejor manera de empezar el nuevo día.</t>
  </si>
  <si>
    <t>http://mirentxucacharron.blogspot.com.es/</t>
  </si>
  <si>
    <t>Libertad Digital</t>
  </si>
  <si>
    <t>Tuiteo Caracas</t>
  </si>
  <si>
    <t>http://bit.ly/2PMvBIe</t>
  </si>
  <si>
    <t>Noticias y opinión en la red. Escúchanos en @esRadio y léenos también en @libre_mercado @ChicRevista @LoDeCultura</t>
  </si>
  <si>
    <t>http://www.libertaddigital.com</t>
  </si>
  <si>
    <t>Caracas Venezuela</t>
  </si>
  <si>
    <t>Canal Informativo para Caracas. Síguenos y te Seguimos. Reporta vía Mención o HT #Caracas ¡Entérate!</t>
  </si>
  <si>
    <t>Tuiteo Tachira</t>
  </si>
  <si>
    <t>http://bit.ly/2FC5PBH</t>
  </si>
  <si>
    <t>InformeSinBandera</t>
  </si>
  <si>
    <t>Pedro Sánchez habló con Theresa May y reiteró qué hará #España si no hay cambios sobre Gibraltar: "Vetaremos el #Brexit"...</t>
  </si>
  <si>
    <t>Galicia</t>
  </si>
  <si>
    <t>http://isb.gs/WAn28u</t>
  </si>
  <si>
    <t>https://pbs.twimg.com/media/DssRsufUUAY1PY3.jpg</t>
  </si>
  <si>
    <t>Informe conservador. Noticias Argentina y el mundo al minuto las 24 horas.</t>
  </si>
  <si>
    <t>http://www.informesinbandera.com</t>
  </si>
  <si>
    <t>msvbr61lavictoriaraguacnr</t>
  </si>
  <si>
    <t>Pdte. del Gobierno español llega a Cuba para visita oficial</t>
  </si>
  <si>
    <t>http://dlvr.it/Qrx3t3</t>
  </si>
  <si>
    <t>https://pbs.twimg.com/media/DssRqLyU0AAOrmK.jpg</t>
  </si>
  <si>
    <t>La Victoria, Municipio José Félix Ribas, Parroquia Castor Nieves Ríos, Estado Aragua, Venezuela</t>
  </si>
  <si>
    <t>Movimiento Somos Venezuela Brigada 61</t>
  </si>
  <si>
    <t>Tuiteo Barquisimeto</t>
  </si>
  <si>
    <t>http://bit.ly/2BtbHcw</t>
  </si>
  <si>
    <t>Miami, FL</t>
  </si>
  <si>
    <t>Barquisimeto Estado Lara</t>
  </si>
  <si>
    <t>El acontecer en Barquisimeto. Comparte INFOCIUDAD - Reporta vía HT #Barquisimeto o Mención en @TuiteoBarqto ¡Entérate!</t>
  </si>
  <si>
    <t>https://www.facebook.com/pages/Tuiteo-Barquisimeto/613972641961403</t>
  </si>
  <si>
    <t>Tuiteo El Tocuyo™</t>
  </si>
  <si>
    <t>http://bit.ly/2DCSpmy</t>
  </si>
  <si>
    <t>a través de un mensaje directo DM comparte informaciones, noticias, eventos, servicios y comentarios con absoluta Tolerancia...</t>
  </si>
  <si>
    <t>https://www.facebook.com/TuiteoElTocuyo</t>
  </si>
  <si>
    <t>Tuiteo Barinas</t>
  </si>
  <si>
    <t>http://bit.ly/2AeCyqZ</t>
  </si>
  <si>
    <t>Barinas - Venezuela</t>
  </si>
  <si>
    <t>Canal Informativo para Barinas. Síguenos y te Seguimos. Reporta vía Mención o HT #Barinas ¡Entérate!</t>
  </si>
  <si>
    <t>ElTocuyo AlDia</t>
  </si>
  <si>
    <t>http://bit.ly/2KrC0CR</t>
  </si>
  <si>
    <t>Barquisimeto</t>
  </si>
  <si>
    <t>@ElTocuyoalDia Proyecto Universitario. http://eltocuyoaldia.blogspot.com/ convertido en el principal medio alternativo de información para el municipio Morán</t>
  </si>
  <si>
    <t>http://eltocuyoaldia.blogspot.com/</t>
  </si>
  <si>
    <t>Antonio Sanz Cabello</t>
  </si>
  <si>
    <t>Fuimos y seguiremos siendo el partido que defiende los intereses de los trabajadores de @NavantiaOficial y más futuro y contratos para los astilleros de la #BahiaDeCadiz. La industria naval necesita un Gobierno q de confianza y no bandazos, como el de Pedro Sánchez y S.Díaz</t>
  </si>
  <si>
    <t>https://pbs.twimg.com/media/DssRGCBWkAAFyCQ.jpg</t>
  </si>
  <si>
    <t>Cádiz, Spain</t>
  </si>
  <si>
    <t>Senador del Reino de España. Portavoz Comisión de Interior Grupo Popular del Senado. Presidente Provincial del Partido Popular de Cádiz</t>
  </si>
  <si>
    <t>http://www.laventanadelsur.es</t>
  </si>
  <si>
    <t>Theresa May y Pedro Sánchez discutieron por teléfono sobre el 'Brexit' y Gibraltar  via @ActualidadRT</t>
  </si>
  <si>
    <t>https://es.rt.com/6crp</t>
  </si>
  <si>
    <t>Gutiérrez Mellado se lanzó contra un tío con metralleta. Pedro Sánchez no ha defendido ni a su ministro cuando le escupen.</t>
  </si>
  <si>
    <t>https://pbs.twimg.com/media/DssQzuUWwAUBIBq.jpg</t>
  </si>
  <si>
    <t>Tuiteo Carora</t>
  </si>
  <si>
    <t>https://ift.tt/2S3v7Kk</t>
  </si>
  <si>
    <t>Carora - Estado Lara</t>
  </si>
  <si>
    <t>Canal Informativo para Torres. Síguenos y te Seguimos. Reporta Vía HT #Carora. @TuiteoCarora</t>
  </si>
  <si>
    <t>Sevilla</t>
  </si>
  <si>
    <t>ainhoa martínez</t>
  </si>
  <si>
    <t>Pedro Sánchez arranca su jornada en La Habana en un encuentro con la delegación empresarial española, con la presencia del ex ministro de Industria José Manuel Soria. El presidente de la CEOE se compromete a actuar con el Gobierno con “independencia y sentido de Estado”</t>
  </si>
  <si>
    <t>https://pbs.twimg.com/media/DssQxeLV4AAjb5W.jpg</t>
  </si>
  <si>
    <t>Periodista y abogada. Cubro información política (Gobierno y PSOE). He vivido "días históricos" por encima de mis posibilidades</t>
  </si>
  <si>
    <t>http://ociososmadrid.blogspot.com</t>
  </si>
  <si>
    <t>Madrid, ESPAÑA</t>
  </si>
  <si>
    <t>Carlos J. Santiago🇪🇸</t>
  </si>
  <si>
    <t>Sevilla, España</t>
  </si>
  <si>
    <t>DIRECTOR COMERCIAL🇪🇸</t>
  </si>
  <si>
    <t>http://about.me/cjsaguilar</t>
  </si>
  <si>
    <t>Web El Tocuyo</t>
  </si>
  <si>
    <t>http://bit.ly/2AfhUXG</t>
  </si>
  <si>
    <t>El Tocuyo I Lara I Venezuela</t>
  </si>
  <si>
    <t>Guillermo Vargas</t>
  </si>
  <si>
    <t>Casado cree que Pedro Sánchez no puede seguir de presidente si es "tan indigno de permitir que escupan a su ministro"  via @epnacional</t>
  </si>
  <si>
    <t>https://www.europapress.es/nacional/noticia-casado-cree-pedro-sanchez-no-puede-seguir-presidente-si-tan-indigno-permitir-escupan-ministro-20181123131635.html</t>
  </si>
  <si>
    <t>Guadalajara</t>
  </si>
  <si>
    <t>France-España</t>
  </si>
  <si>
    <t>Doucement. Considère ce que tu dis,qui le dit et à qui c'est dit. Car ce parler hâtif,qui ne laisse place à aucune réflexion,n'est que concert de casseroles.</t>
  </si>
  <si>
    <t>Noticias El Tocuyo</t>
  </si>
  <si>
    <t>http://bit.ly/2R8KDF1</t>
  </si>
  <si>
    <t>Compartimos las Noticias publicadas en los principales medios del país. Mantente informado de lo que ocurre a tu alrededor</t>
  </si>
  <si>
    <t>Populares Canarias 🇮🇨</t>
  </si>
  <si>
    <t>🔵@asierantona: “Pedro Sánchez prefiere reunirse con un dictador en Cuba, que trabajar en Canarias con los problemas de las regiones más alejadas.” 📄👉</t>
  </si>
  <si>
    <t>http://bit.ly/2r0I9gt</t>
  </si>
  <si>
    <t>https://pbs.twimg.com/media/DssHCFXW0AAOEBZ.jpg</t>
  </si>
  <si>
    <t>Cuenta Oficial del Partido Popular de Canarias.</t>
  </si>
  <si>
    <t>http://www.pp.es</t>
  </si>
  <si>
    <t>Manuel Sanchez</t>
  </si>
  <si>
    <t>El nuevo presidente de la CEOE, Antonio Garanendi, hace su primera intervención oficial desde Cuba, dándole las gracias a Pedro Sánchez por su viaje a la isla y ofreciéndole la lealtad del empresariado español! Se percibe otro tono!</t>
  </si>
  <si>
    <t>Vosotros lo habéis querido. Pesados. Ahora, os tocará aguantar.</t>
  </si>
  <si>
    <t>💫 Ismael Escuín 💫</t>
  </si>
  <si>
    <t>🗞 Pedro Sánchez firma un acuerdo difuso sobre "consultas políticas" con la dictadura cubana 👉 #SanchismoEs apoyar a una dictadura castrista 🤷‍♀️🤷🏻‍♂️🤷‍♀️🤷🏻‍♂️🤷‍♀️🤷🏻‍♂️🤷‍♀️🤷🏻‍♂️🤷‍♀️🤷🏻‍♂️🤷‍♀️</t>
  </si>
  <si>
    <t>https://okdiario.com/internacional/2018/11/23/cuba-firma-espana-primera-vez-memorando-consultas-politicas-hablar-derechos-humanos-3382582</t>
  </si>
  <si>
    <t>España, Europa, Mundo 🇪🇸🇪🇺</t>
  </si>
  <si>
    <t>Sólo el cambio perdura. Todo fluye, nada permanece. Heráclito. RNA Cs. 📲 Redes | 👉 Marketing</t>
  </si>
  <si>
    <t>https://youtu.be/C4hpa5dCKAo</t>
  </si>
  <si>
    <t>Eva Miquel Subías</t>
  </si>
  <si>
    <t>Que dicen en RNE que Pedro Sánchez va a tener una reunión con la sociedad civil cubana. Repito. SOCIEDAD CIVIL de Cuba. Quizás debería cenar en Miami y continuar con la misma.</t>
  </si>
  <si>
    <t>Madrid/Bcn</t>
  </si>
  <si>
    <t>´Un día así no se olvida. Los alemanes iban de gris, tú de azul´ Política, sociedad, lifestyle. Me entiendo contigo,no con tus colores. Attitude is everything.</t>
  </si>
  <si>
    <t>http://www.sinpentimenti.blogspot.com</t>
  </si>
  <si>
    <t>Ricardo Castillo</t>
  </si>
  <si>
    <t>http://dlvr.it/Qrx2lB</t>
  </si>
  <si>
    <t>https://pbs.twimg.com/media/DssP3lkU0AAKGzE.jpg</t>
  </si>
  <si>
    <t>Me encanta el rock, en todas sus variedades.</t>
  </si>
  <si>
    <t>TOTBALEARS.COM</t>
  </si>
  <si>
    <t>Carta abierta de un cubano a Pedro Sánchez -</t>
  </si>
  <si>
    <t>https://totbalears.com/carta-abierta-de-un-cubano-a-pedro-sanchez/</t>
  </si>
  <si>
    <t>https://pbs.twimg.com/media/DssPzh2XQAAlhqg.jpg</t>
  </si>
  <si>
    <t>Palma, España</t>
  </si>
  <si>
    <t>Medios de información digital🖥️</t>
  </si>
  <si>
    <t>https://totbalears.com</t>
  </si>
  <si>
    <t>KO Diario</t>
  </si>
  <si>
    <t>José María Aznar “ El señor de la guerra”, criticando a Pedro Sánchez por ir a Cuba y volviendo a utilizar para obtener rédito político a otros países, mientras aquí en España, es un fiel servidor y defensor del Franquismo y sus asesinatos.</t>
  </si>
  <si>
    <t>pic.twitter.com/kektmO66qz</t>
  </si>
  <si>
    <t>Pais multicolor👧🏿👦🏻👩🏽🧑</t>
  </si>
  <si>
    <t>UN KO AL DÍA...O MÁS. Depende del ambientazo que haya por aquí. Visítanos y síguenos en Facebook https://www.facebook.com/kodiario/</t>
  </si>
  <si>
    <t>https://www.facebook.com/kodiario/</t>
  </si>
  <si>
    <t>Berta García Bilbao</t>
  </si>
  <si>
    <t>Un vaso medio vacío de vino es también uno medio lleno, pero una mentira a medias, de ningún modo es una media verdad</t>
  </si>
  <si>
    <t>Daniel Cordero M</t>
  </si>
  <si>
    <t>🚨 Que dice Pedro Sánchez que no le gustan los dictadores 😂😂 ¿A quien quiere engañar? 🤔 Porque... 👇🏼👇🏼</t>
  </si>
  <si>
    <t>https://pbs.twimg.com/media/DssPavyX4AAR9w8.jpg</t>
  </si>
  <si>
    <t>Coslada, Comunidad de Madrid</t>
  </si>
  <si>
    <t>Afiliado al @ppcoslada Vocal del Consejo de Cooperación del @ayto_coslada He sido concejal de mi Ayto. http://facebook.com/danicorderom</t>
  </si>
  <si>
    <t>http://www.instagram.com/danicorderom</t>
  </si>
  <si>
    <t>alicia alarcon</t>
  </si>
  <si>
    <t>#SanchismoEs cuando pienso en el anuncio de ruavieja...y echo la cuenta del tiempo q nos qeda de pasar con este Pedro Sanchez ...me dan ganas de echarme la soga</t>
  </si>
  <si>
    <t>Ciudad Real</t>
  </si>
  <si>
    <t>Pao Aguiar</t>
  </si>
  <si>
    <t>http://ow.ly/IEDY101mPnS</t>
  </si>
  <si>
    <t>https://pbs.twimg.com/media/DssPQubX4AEhkNu.jpg</t>
  </si>
  <si>
    <t>Lima, Peru</t>
  </si>
  <si>
    <t>Am so lovely and kind then easily to know more about</t>
  </si>
  <si>
    <t>mdpbs</t>
  </si>
  <si>
    <t>Carta viral de un Guardia Civil a Pedro Sánchez: “La próxima vez se pone usted delante, pero sin escolta”  vía @Noticiero Universal</t>
  </si>
  <si>
    <t>https://noticierouniversal.com/destacadas/carta-de-un-guardia-civil-a-pedro-sanchez/</t>
  </si>
  <si>
    <t>Por España y el que quiera defenderla honrado muera Y el traidor que la abandone no tenga quien le perdone, ni en Tierra Santa cobijo, ni cruz en sus despojos</t>
  </si>
  <si>
    <t>Eugenio</t>
  </si>
  <si>
    <t>El PS Pedro Sánchez habló con Theresa May y reiteró qué hará España si no hay cambios sobre Gibraltar: "Vetaremos el Brexit"</t>
  </si>
  <si>
    <t xml:space="preserve">Santiago de Chile </t>
  </si>
  <si>
    <t>“Para verdades el tiempo y para la justicia Dios”..(José Zorrilla)</t>
  </si>
  <si>
    <t>mrexplorador</t>
  </si>
  <si>
    <t>El Gobierno abre la puerta a que Pedro Sánchez plante al Consejo Europeo por el desacuerdo sobre Gibraltar  via @eldiarioes</t>
  </si>
  <si>
    <t>https://www.eldiario.es/_32001629</t>
  </si>
  <si>
    <t>Liderazgo en Am Latina</t>
  </si>
  <si>
    <t>J. Cummings</t>
  </si>
  <si>
    <t>Que ganas de que Pedro Sánchez ponga las urnas para votar a @vox_es. Creo que nunca he esperado unas elecciones con tanta impaciencia.</t>
  </si>
  <si>
    <t>Fascista, machista, racista, nazi, xenófobo, homófobo, franquista y malparido. Venga, ya lo he dicho yo. Ahora, debate con argumentos.</t>
  </si>
  <si>
    <t>Rafael G de Vinuesa</t>
  </si>
  <si>
    <t xml:space="preserve">Arroyo del Ojanco (Jaén) </t>
  </si>
  <si>
    <t>Aficionado a la meteorologia desde pequeño. Tambien me gusta la informatica, y la naturaleza del Paraiso Interior de Jaén. Sierra de Segura Pais Andaluz</t>
  </si>
  <si>
    <t>http://www.jaenparaisointerior.es</t>
  </si>
  <si>
    <t>Noticiero Universal</t>
  </si>
  <si>
    <t>Pablo Iglesias "El Chepas" dice que no apoyará a Pedro Sánchez si defiende la españolidad de Gibraltar ante el Reino Unido -</t>
  </si>
  <si>
    <t>https://noticierouniversal.com/actualidad/pablo-iglesias-el-chepas-dice-que-no-apoyara-a-pedro-sanchez-si-defiende-la-espanolidad-de-gibraltar-ante-el-reino-unido/</t>
  </si>
  <si>
    <t>Noticias en tiempo real</t>
  </si>
  <si>
    <t>http://www.noticierouniversal.com</t>
  </si>
  <si>
    <t>🎗MONTORNESCO✊</t>
  </si>
  <si>
    <t>Pedro Sánchez desde Madrid diciendo una cosa sobre Gibraltar y Theresa May desde Inglaterra diciendo otra. Y digo yo... ¿Y si le preguntáis a los Gibraltareños lo que quieren?</t>
  </si>
  <si>
    <t>Springfield de Montornés</t>
  </si>
  <si>
    <t>IRONISTA TITULADO EN LA REY JUAN CARLOS. TRACTORIANO DESDE EL 1/10/17. Animalista. El último en salir de ESPAÑA que cierre la puerta. Apa, adéu!</t>
  </si>
  <si>
    <t>Jose Luis Rodriguez</t>
  </si>
  <si>
    <t>https://www.eldiario.es/politica/Gobierno-Sanchez-Consejo-Europeo-Gibraltar_0_838866473.html</t>
  </si>
  <si>
    <t>exJefe servicio H Fuenlabrada Residente Gastroenterologia en New Jersey College of Medicine, Newark, NJ Ha estudiado Fellowship en McGill University</t>
  </si>
  <si>
    <t>¡Así intentó Theresa May seducir a @sanchezcastejon !  #Gibraltar #GibraltarEspañol #BrexitDeal</t>
  </si>
  <si>
    <t>https://bit.ly/2Ae8Cv6</t>
  </si>
  <si>
    <t>https://pbs.twimg.com/media/DssOTksX4AAkSuX.jpg</t>
  </si>
  <si>
    <t>The Cuban Thaw</t>
  </si>
  <si>
    <t>Directo | Pedro Sánchez comparece para hacer balance de su vista a Cuba  via el_pais - Más de 200 ejecutivos españoles participan en el Foro Empresarial Cuba-España al calor de la visita a La Habana del presidente</t>
  </si>
  <si>
    <t>http://zpr.io/6dru5</t>
  </si>
  <si>
    <t>14ymedio</t>
  </si>
  <si>
    <t>winter is gone</t>
  </si>
  <si>
    <t>https://en.wikipedia.org/wiki/United_States%E2%80%93Cuban_Thaw</t>
  </si>
  <si>
    <t>Diario digital hecho en Cuba. Apoya nuestro trabajo. Hazte miembro: https://goo.gl/cCCvfa</t>
  </si>
  <si>
    <t>Pilar Menchero</t>
  </si>
  <si>
    <t>Sí Pedro Sánchez dice que no irá a la reunión acerca del Brexit, sobre lo de Gibraltar, entonces irá.Recuenden que hace lo contrario a lo que dice: haré pública la lista de defraudadores, derogaré la Ley Mordaza... Así es él.</t>
  </si>
  <si>
    <t>Soy animalista, antitaurina,coherente con mis ideales, detesto a los hipócritas, corruptos o delincuentes. Los liberales subvencionados y sus hipocresías🤔🤔</t>
  </si>
  <si>
    <t>pressdigital</t>
  </si>
  <si>
    <t>Pablo Iglesias asegura que no apoyará a Pedro Sánchez para "patrioterismos extraños" en relación con Gibraltar</t>
  </si>
  <si>
    <t>https://ift.tt/2DRs9pj</t>
  </si>
  <si>
    <t>Diario digital plural e independiente donde puedes informarte y participar. Síguenos en Facebook: https://www.facebook.com/pressdigitalteinforma</t>
  </si>
  <si>
    <t>http://www.pressdigital.es/</t>
  </si>
  <si>
    <t>Ivan Padron</t>
  </si>
  <si>
    <t>Pedro Sánchez, jefe del gobierno español, inicia su primera visita a Cuba.</t>
  </si>
  <si>
    <t>Now, what is repeated again and again is true no matter if it really is. The real power of social media today: It does not matter what is said, but who says it.</t>
  </si>
  <si>
    <t>🌹manuela_murias🌹</t>
  </si>
  <si>
    <t xml:space="preserve">LEON, la tierra de ZP </t>
  </si>
  <si>
    <t>Socialista-PSOE -Prefiero morir de pie,que vivir de rodillas.Un paso ATRAS, ni para coger impulso.Creo firmemente en mis principios.No,no todos somos iguales</t>
  </si>
  <si>
    <t>http://page.is/manuela-murias</t>
  </si>
  <si>
    <t>TurboNoticias</t>
  </si>
  <si>
    <t>Sígueme si quieres estar al día de las últimas noticias de la red!!</t>
  </si>
  <si>
    <t>Ric Rodríguez Maeso</t>
  </si>
  <si>
    <t>Pedro Sánchez le sale al paso a José María Aznar. 👇 RT @sanchezcastejon: Las relaciones de #España con #Cuba son prioritarias para nuestro país. Siempre defenderemos el interés de España en todos los foros. Un expresidente del Gobierno debe tener sentido de Estado, no competir como líder de la oposición.</t>
  </si>
  <si>
    <t>https://twitter.com/sanchezcastejon/status/1065957380532375552</t>
  </si>
  <si>
    <t>Periodista político de la Cadena COPE. Informo de las Cortes y sigo al presidente del Gobierno. Colaboro con ESdiario.</t>
  </si>
  <si>
    <t>noticiaseconomicas</t>
  </si>
  <si>
    <t>http://bit.ly/2OYsSX5</t>
  </si>
  <si>
    <t>Noticias económicas al momento.</t>
  </si>
  <si>
    <t>Jose Antonio Martos 🇪🇸</t>
  </si>
  <si>
    <t>¿Soy el único que tiene la impresión de que Pedro Sanchez le pone mas interés en un dictador muerto hace 40 años que en recuperar Gibraltar?</t>
  </si>
  <si>
    <t>Alicante España</t>
  </si>
  <si>
    <t>Nací, crecí algo 50 años y sobrevivo, Ingeniero Civil y máster en educación secundaria y con ganas de aprender.</t>
  </si>
  <si>
    <t>PSOE San Pedro Alcántara</t>
  </si>
  <si>
    <t>ACTO PÚBLICO DE CAMPAÑA a las Elecciones Autonómicas de Andalucía 2018, con la intervención de Pedro Sánchez, Secretario General del PSOE y Susana Díaz, Presidenta del PSOE-A. 📆 Día: martes 27 de noviembre de 2018 🕥 Hora: 19:00 hrs. 📍 Lugar: Palacio de Congresos de Marbella</t>
  </si>
  <si>
    <t>https://pbs.twimg.com/media/DssNZahWwAU8hoH.jpg</t>
  </si>
  <si>
    <t>San Pedro Alcántara, Málaga</t>
  </si>
  <si>
    <t>Agrupación del @PSOE en #SanPedroAlcántara. Trabajamos por la igualdad y el bienestar de todos los sampedreños y sampedreñas. #MirandoAlFuturo con @manugarro</t>
  </si>
  <si>
    <t>http://www.psoesanpedroalcantara.es</t>
  </si>
  <si>
    <t>Melisa Rodríguez</t>
  </si>
  <si>
    <t>#SanchismoEs tener a una ministra de Justicia reprobada tres veces en apenas cinco meses y que diga en el Congreso que “cualquier reo puede ser indultado por cualquier delito” dejando la puerta abierta a que los golpistas puedan ser absueltos por Pedro Sánchez. RT @Albert_Rivera: Así responde el Gobierno Sánchez a la pregunta clara de si se propone o no indultar a quienes dieron un golpe a nuestra democracia. Está muy claro por qué. 🎥👇🏻</t>
  </si>
  <si>
    <t>https://twitter.com/albert_rivera/status/1062786920701444096</t>
  </si>
  <si>
    <t>pic.twitter.com/ySEoRK7bVb</t>
  </si>
  <si>
    <t>Santa Cruz de Tenerife</t>
  </si>
  <si>
    <t>Diputada y Portavoz Adjunta en El Congreso, Secretaria de Juventud y Responsable de Energía y Medio Ambiente https://www.facebook.com/MelisaRguezCs/ @cscanarias</t>
  </si>
  <si>
    <t>https://www.ciudadanos-cs.org/</t>
  </si>
  <si>
    <t>Europa Press</t>
  </si>
  <si>
    <t>Casado: "El PSOE de Sánchez y Díaz está volviendo a poner en riesgo las pensiones con una política errática"</t>
  </si>
  <si>
    <t>https://www.europapress.es/andalucia/almeria-00350/noticia-casado-psoe-pedro-sanchez-susana-diaz-volviendo-poner-riesgo-pensiones-politica-erratica-20181123142428.html</t>
  </si>
  <si>
    <t>Andalucía</t>
  </si>
  <si>
    <t>Twitter oficial de la agencia de noticias Europa Press de Andalucía</t>
  </si>
  <si>
    <t>http://www.europapress.es/andalucia/</t>
  </si>
  <si>
    <t>PSOE Ayto. Marbella-San Pedro</t>
  </si>
  <si>
    <t>https://pbs.twimg.com/media/DssNUUiWsAA3keM.jpg</t>
  </si>
  <si>
    <t>Marbella, España</t>
  </si>
  <si>
    <t>Twitter oficial del Grupo Municipal Socialista en el Ayuntamiento de Marbella.</t>
  </si>
  <si>
    <t>🌹Karma🌹🍀🐾☀️</t>
  </si>
  <si>
    <t>📩#AznarIsComing Aznar excluye al PSOE de Pedro Sánchez de los partidos constitucionalistas  SIN PALABRAS.. 🌹Yo con el #GobiernoDeLaDignidad de Pedro @sanchezcastejon #Razonesparaconfiar #ElPSOEDaSeguridad #gpedroSC</t>
  </si>
  <si>
    <t>http://shr.gs/QaPRgZR</t>
  </si>
  <si>
    <t>Zaragoza,  España</t>
  </si>
  <si>
    <t>Militante PSOE Agrupación Norte</t>
  </si>
  <si>
    <t>Tochas</t>
  </si>
  <si>
    <t>España ha llegado a ese punto en que el bolero de C.Tangana, veneno, lo podria haber sacado perfectamente Pedro Sanchez.</t>
  </si>
  <si>
    <t>Nacido en el 23 A.M.B (Antes Manuel Bartual)</t>
  </si>
  <si>
    <t>Zoé Valdés</t>
  </si>
  <si>
    <t>Pedro Sánchez premia a Torrescámara, constructora investigada en el ‘caso Acuamed’, y la lleva en su avión a Cuba</t>
  </si>
  <si>
    <t>CGTN en Español</t>
  </si>
  <si>
    <t>http://zoevaldes.net/2018/11/23/pedro-sanchez-premia-a-torrescamara-constructora-investigada-en-el-caso-acuamed-y-la-lleva-en-su-avion-a-cuba/</t>
  </si>
  <si>
    <t>https://pbs.twimg.com/media/DssM-SpUwAAB5_h.jpg</t>
  </si>
  <si>
    <t>París, Francia</t>
  </si>
  <si>
    <t>Escritora, artista zoevaldesofficialpage en instagram</t>
  </si>
  <si>
    <t>http://www.zoevaldes.net</t>
  </si>
  <si>
    <t>北京, 中华人民共和国</t>
  </si>
  <si>
    <t>CGTN te lleva a descubrir a China.</t>
  </si>
  <si>
    <t>https://espanol.cgtn.com</t>
  </si>
  <si>
    <t>HINOJOS</t>
  </si>
  <si>
    <t>En España</t>
  </si>
  <si>
    <t>He vivido intensamente 78 años dedicados a mi familia y a mi país y sigo con la intención de disfrutar de lo mismo.</t>
  </si>
  <si>
    <t>LeadPro</t>
  </si>
  <si>
    <t>USA</t>
  </si>
  <si>
    <t>EDM DJ</t>
  </si>
  <si>
    <t>http://cicalife.info/</t>
  </si>
  <si>
    <t>Fermín Peña Sánchez</t>
  </si>
  <si>
    <t>Gobierno español destaca que visita de Sánchez a Cuba fortalece los nexos bilaterales  Madrid, 23 nov.- El Gobierno de España ensalzó hoy la visita oficial a Cuba del presidente Pedro Sánchez, al señalar que abre un nuevo capítulo en la relación entre d…</t>
  </si>
  <si>
    <t>https://ift.tt/2Afms0m</t>
  </si>
  <si>
    <t>https://pbs.twimg.com/media/DssMpmYXoAENysG.jpg</t>
  </si>
  <si>
    <t>#Florida, #Camaguey, #CUBA</t>
  </si>
  <si>
    <t>Fermín Peña Sánchez.🇨🇺 Realizador de sonido #Webmaster, #Fidelista #Chavista 🇻🇪#Desarrollador #EditorWeb @radioflorida http://www.radioflorida.icrt.cu #Cuba</t>
  </si>
  <si>
    <t>http://www.facebook.com/home.php#!/profile.php?id=100000861292140</t>
  </si>
  <si>
    <t>Radio Florida, Cuba.</t>
  </si>
  <si>
    <t>https://pbs.twimg.com/media/DssMouuXoAUVuFA.jpg</t>
  </si>
  <si>
    <t>Florida, Camaguey, CUBA</t>
  </si>
  <si>
    <t>Noticias de Actualidad de Florida, Camaguey, Cuba.</t>
  </si>
  <si>
    <t>http://www.radioflorida.icrt.cu</t>
  </si>
  <si>
    <t>C-5</t>
  </si>
  <si>
    <t>https://diariopatriota.com/pedro-sanchez-acuerda-con-marruecos-pagar-los-estudios-a-los-estudiantes-marroquies/</t>
  </si>
  <si>
    <t>A lo mejor Pedro Sánchez no se entera de nada porque tiene jet lag.</t>
  </si>
  <si>
    <t>¿Falta mucho?</t>
  </si>
  <si>
    <t>Sé abrir botes</t>
  </si>
  <si>
    <t>Noobstar</t>
  </si>
  <si>
    <t>Pedro Sánchez usando a su mujer para la propaganda... La 'reina roja' Begoña Gómez se corona en Cuba  vía @elmundoes</t>
  </si>
  <si>
    <t>https://www.elmundo.es/espana/2018/11/23/5bf7e88a268e3e2e658b459a.html</t>
  </si>
  <si>
    <t>Loosetown</t>
  </si>
  <si>
    <t>Motivador de masas (pizzero). Los noobstars se aliaron para finalmente perder la partida</t>
  </si>
  <si>
    <t>Antonio</t>
  </si>
  <si>
    <t>El Gobierno abre la puerta a que Pedro Sánchez plante al Consejo Europeo por el desacuerdo sobre Gibraltar -</t>
  </si>
  <si>
    <t>https://m.eldiario.es/32001629_838866473/</t>
  </si>
  <si>
    <t>Gran Canaria</t>
  </si>
  <si>
    <t>CANELATV</t>
  </si>
  <si>
    <t>https://www.youtube.com/watch?v=R0ZoWwrAPLg</t>
  </si>
  <si>
    <t>Cuenta oficial de Televisión Canela. El Canal Anti - novelas. Sintonízanos en el canal 44 Quito, 41 Guayaquil, 76 Tv Cable, 2 Cable Unión, 334 CNT.</t>
  </si>
  <si>
    <t>https://www.facebook.com/canelatv/</t>
  </si>
  <si>
    <t>Cesc 1B ||*||</t>
  </si>
  <si>
    <t>El Gobierno abre la puerta a que Pedro Sánchez plante al Consejo Europeo por el desacuerdo sobre Gibraltar. “No son molinos, querido Sancho, que son gigantes”. A por ellos, oeeeee!!!! #Garrulos!!!</t>
  </si>
  <si>
    <t>Catalunya</t>
  </si>
  <si>
    <t>Català, independentista i republicà. L'alliberament d'un regne podrit i opressor és ben a prop!</t>
  </si>
  <si>
    <t>Carles Pastor 🎗</t>
  </si>
  <si>
    <t>La RFEF se niega a compartir terreno con Marruecos de cara a un Mundial, no entiende que España necesite de uno o varios países para organizar un Mundial teniendo en cuenta las importantes insfraestructura que ya se tienen en territorio nacional.</t>
  </si>
  <si>
    <t>http://www.despiertainfo.com/2018/11/20/la-rfef-desautoriza-a-pedro-sanchez-para-organizar-el-mundial-con-marruecos-en-2030/</t>
  </si>
  <si>
    <t>El Prat de Llobregat-Catalunya</t>
  </si>
  <si>
    <t>Another hour! It's October 18, 2018 at 11:00AM-Cielo en vivo en La Zonilla, El Prat de Ll. Catalunya:https://ift.tt/2om3NKp</t>
  </si>
  <si>
    <t>http://www.avesfotos.eu</t>
  </si>
  <si>
    <t>Luis E. Gonzalez</t>
  </si>
  <si>
    <t>Díaz-Canel y Pedro Sánchez encabezan firma de memorandos  @DiazCanelB @JoelSuarezPelle @CubaMINREX @JosefinaVidalF @AlpidioAlonsoG @CubaCultura @MINSAPCuba @AsambleaCuba</t>
  </si>
  <si>
    <t>https://www.prensa-latina.cu/index.php?o=rn&amp;id=230921&amp;SEO=diaz-canel-y-pedro-sanchez-encabezan-firma-de-memorandos-fotos</t>
  </si>
  <si>
    <t>https://pbs.twimg.com/media/DssLqsHXcAANncr.jpg</t>
  </si>
  <si>
    <t>Díaz-Canel y Pedro Sánchez encabezan firma de memorandos</t>
  </si>
  <si>
    <t>Ignacio Escolar</t>
  </si>
  <si>
    <t>Crece la tensión -&gt; El Gobierno abre la puerta a que Pedro Sánchez plante al Consejo Europeo por el desacuerdo sobre Gibraltar</t>
  </si>
  <si>
    <t>Madrid // España</t>
  </si>
  <si>
    <t>Director de http://eldiario.es y analista político en La Sexta. ¿Quieres pasarme información? Puedes hacerlo desde aquí https://www.eldiario.es/pistas</t>
  </si>
  <si>
    <t>http://www.eldiario.es</t>
  </si>
  <si>
    <t>Laura SG</t>
  </si>
  <si>
    <t>Carta abierta de un cubano a Pedro Sánchez  vía @elespanolcom</t>
  </si>
  <si>
    <t>https://www.elespanol.com/opinion/tribunas/20181123/carta-abierta-cubano-pedro-sanchez/355334465_12.html</t>
  </si>
  <si>
    <t>http://elespanol.com</t>
  </si>
  <si>
    <t>http://es.linkedin.com/in/laurasanzgarcia</t>
  </si>
  <si>
    <t>⚠️ ¡¡Mandar unos presupuestos a Bruselas que ponen en RIESGO la estabilidad fiscal del país!! 👉 Esto es #SanchismoEs 👉 Esto es Pedro Sánchez ¿Cuándo votamos para que se vaya? #EleccionesYA 🗳</t>
  </si>
  <si>
    <t>https://pbs.twimg.com/media/DssLXygWoAIgTlZ.jpg</t>
  </si>
  <si>
    <t>spain</t>
  </si>
  <si>
    <t>A Coruña, Galicia</t>
  </si>
  <si>
    <t>Jaime Álvarez Buiza</t>
  </si>
  <si>
    <t>El HOY de mañana publicará mi artículo 'PIERRE NODOYUNA', sobre las series de dibujos 'Los autos locos' y 'El escuadrón diabólico' y el espanto de sus similitudes con Pedro Sánchez y su gobierno.</t>
  </si>
  <si>
    <t>Badajoz</t>
  </si>
  <si>
    <t>Escéptico, ¿poeta?, articulista en HOY, chinche, agnóstico, iconoclasta instalado en la duda.... De aquí a nada cambio esto.</t>
  </si>
  <si>
    <t>http://tardedesiempre.blogpost.com</t>
  </si>
  <si>
    <t>eldiario.es</t>
  </si>
  <si>
    <t>El Gobierno abre la puerta a que Pedro Sánchez plante al Consejo Europeo por el desacuerdo sobre Gibraltar  Por @irecr y @gonzalocortizo</t>
  </si>
  <si>
    <t>https://pbs.twimg.com/media/DssLPheXQAEEw1c.jpg</t>
  </si>
  <si>
    <t>Periodismo a pesar de todo. Colabora: Hazte socio -- http://www.eldiario.es/socios/alta.html</t>
  </si>
  <si>
    <t>Médico: Dr. José Gregorio Hernández Cisneros</t>
  </si>
  <si>
    <t>#23nov ¡Salvemos a #Cuba! Cuidado con Pedro Sánchez La Constitución que quiere el PSOE: «Matrimonio» homosexual, muerte «digna» y laicidad del Estado</t>
  </si>
  <si>
    <t>http://www.infocatolica.com/?t=noticia&amp;cod=31103</t>
  </si>
  <si>
    <t>Cabimas, Venezuela</t>
  </si>
  <si>
    <t>Por la beatificación del #Venerable Médico"Dr. José Gregorio Hernández Cisneros" (1864-1919)👨‍⚕️🇻🇪 Ofreció su vida por la #Paz. Defensor de la Creación de #Dios</t>
  </si>
  <si>
    <t>Alerta Nacional</t>
  </si>
  <si>
    <t>Pablo Iglesias dice que no apoyará a Pedro Sánchez si defiende la españolidad de Gibraltar ante el Reino Unido</t>
  </si>
  <si>
    <t>https://www.alertanacional.es/pablo-iglesias-dice-que-no-apoyara-a-pedro-sanchez-si-defiende-la-espanolidad-de-gibraltar-ante-el-reino-unido/</t>
  </si>
  <si>
    <t>https://pbs.twimg.com/media/DssLGqjV4AASVX5.jpg</t>
  </si>
  <si>
    <t>https://www.alertanacional.es</t>
  </si>
  <si>
    <t>Mª Rosa Deza Sierra</t>
  </si>
  <si>
    <t>Pedro Sánchez mandó su coche oficial vacío a Valladolid para hacer los 8 kms del aeropuerto a la ciudad</t>
  </si>
  <si>
    <t>https://okdiario.com/espana/2018/11/21/sanchez-mando-coche-oficial-vacio-valladolid-hacer-8-kms-del-aeropuerto-ciudad-3377374?utm_campaign=ok&amp;utm_medium=Social&amp;utm_source=Facebook#Echobox=1542831164</t>
  </si>
  <si>
    <t>http://larioja.ciudadanos-cs.org/</t>
  </si>
  <si>
    <t>Madrid y Ciudad Real</t>
  </si>
  <si>
    <t>https://www.facebook.com/DezayAsociados</t>
  </si>
  <si>
    <t>ElDesmarque Dépor</t>
  </si>
  <si>
    <t>📢 Natxo explica por qué se quedan fuera Bergantiños (tocado) y Borja Valle, los plazos de la recaída de Pedro Sánchez y el estado de Adrián Ortolá, duda hasta última hora:</t>
  </si>
  <si>
    <t>http://dsmrq.es/rcd26888</t>
  </si>
  <si>
    <t>https://pbs.twimg.com/media/DssKutCWkAA5QGR.jpg</t>
  </si>
  <si>
    <t>Bienvenido al Twitter Oficial de ElDesmarque #Dépor. ¡Síguenos y suscríbete GRATIS a nuestro WhatsApp! http://dsmrq.es/WhatsappDepor</t>
  </si>
  <si>
    <t>http://eldesmarque.com/coruna</t>
  </si>
  <si>
    <t>Cs La Rioja</t>
  </si>
  <si>
    <t>joker</t>
  </si>
  <si>
    <t>Bruselas desmonta punto por punto el Presupuesto de Pedro Sánchez  vía @elmundoes</t>
  </si>
  <si>
    <t>La Rioja, España</t>
  </si>
  <si>
    <t>Perfil oficial de Ciudadanos (Cs) La Rioja. Síguenos también en Facebook: http://facebook.com/CsLaRioja/</t>
  </si>
  <si>
    <t>Jose Luis Gómez</t>
  </si>
  <si>
    <t>El nivel de ignominia que está dispuesto a alcanzar Pedro Sánchez con tal de seguir en La Moncloa no tiene límite. El próximo paso será que un Diputado de ERC orine en el Congreso sobre el banco azul.#SanchismoEs</t>
  </si>
  <si>
    <t>https://pbs.twimg.com/media/DssKoSqWwAA1wSZ.jpg</t>
  </si>
  <si>
    <t>Ceuta - Espana</t>
  </si>
  <si>
    <t>Maño y caballa de adopcion.</t>
  </si>
  <si>
    <t>La estrategia del PSOE y de Pedro Sánchez está clara, crispar lo máximo posible y enfrentar a los partidos de centro-derecha, como por ejemplo la exhumación de Franco y visitar dictaduras como #Cuba Por un lado enfrenta al centro-derecha y por otro se lleva votos de Podemos</t>
  </si>
  <si>
    <t>Crónica Global</t>
  </si>
  <si>
    <t>Esperando un nuevo gesto de Pedro Sánchez</t>
  </si>
  <si>
    <t>https://cronicaglobal.elespanol.com/politica/indepes-duros-torpedean-salida-presos-navidad_201682_102.html</t>
  </si>
  <si>
    <t>Medio digital con una concepción crítica del periodismo. Apuntamos en la buena dirección.</t>
  </si>
  <si>
    <t>http://www.cronicaglobal.com</t>
  </si>
  <si>
    <t>🇪🇸 Jos_man 🇪🇸</t>
  </si>
  <si>
    <t>Begoña Gómez hace gala de su ego y se acopla al viaje de Sánchez a Cuba para tratar de ser la protagonista</t>
  </si>
  <si>
    <t>https://casoaislado.com/begona-gomez-gala-ego-se-acopla-al-viaje-pedro-sanchez-cuba-tratar-la-protagonista/</t>
  </si>
  <si>
    <t>Un Español, orgulloso de serlo, al que no le gusta el socialismo de ningún tipo 🇪🇸</t>
  </si>
  <si>
    <t>frcub</t>
  </si>
  <si>
    <t>El IBEX señala el fin del Gobierno del populista @PSOE : PEDRO SÁNCHEZ CONCLUYE SU VIAJE A CUBA CON UNA DISCRETA REPRESENTACIÓN ECONÓMICA. LOS EMPRESARIOS NO VEN EN ÉL UN ACTIVO A LARGO PLAZO</t>
  </si>
  <si>
    <t>Ningún hombre es lo bastante bueno para gobernar a otros sin su consentimiento. (Abraham Lincoln)</t>
  </si>
  <si>
    <t>Alberto Picatoste 🇪🇸</t>
  </si>
  <si>
    <t>Habrá que estar pendientes a ver si aparece este fin de semana Pedro Sánchez O está desaparecido #YNODIGOMAS</t>
  </si>
  <si>
    <t>LOGROÑO - LA RIOJA - SPAIN</t>
  </si>
  <si>
    <t>Director de @plannercongress Miembro Junta Directiva de @opcspain #OPC #PROTOCOLO Pero aquí DIGO LO Q PIENSO aunque NO TODO LO Q PIENSO. Puedes llamarme πκ</t>
  </si>
  <si>
    <t>https://www.plannercongresos.com</t>
  </si>
  <si>
    <t>noticiasgibraltar</t>
  </si>
  <si>
    <t>Mientras que Pedro Sánchez ha vuelto a reiterar la postura española de vetar el acuerdo de Brexit si no se aclara el caso de Gibraltar, Pablo Iglesias, líder de Podemos, dice que no está dispuesto a apoyar al Gobierno en "patrioterismos extraños"</t>
  </si>
  <si>
    <t>https://noticiasgibraltar.es/campo-gibraltar/noticias/3977/pablo-iglesias-no-apoyara-patrioterismos-extranos-gobierno-relacion</t>
  </si>
  <si>
    <t>https://pbs.twimg.com/media/DssJPvMXgAAdkDz.jpg</t>
  </si>
  <si>
    <t>http://noticiasgibraltar.es</t>
  </si>
  <si>
    <t>SalvadorMorenoSancho</t>
  </si>
  <si>
    <t>Veremos si en su viaje a América Latina, Pedro Sánchez es capaz de mostrar la misma beligerancia con los dictadores actuales del Caribe que con momias que llevan más de 40 años bajo sepultura. 🤔</t>
  </si>
  <si>
    <t>Madrid - Illes Balears</t>
  </si>
  <si>
    <t>5º Medicina UAX 👨🏽‍⚕️ President NNGG Son Servera | @SsNoves 📘 Articulista Cala Millor 7 ✒️ Liberal | Miembro @SFLMadrid | 🇪🇸🇪🇺</t>
  </si>
  <si>
    <t>Luis Leonardo Villalba</t>
  </si>
  <si>
    <t>Pedro Sánchez se reúne con la cúpula de la dictadura castrista en el Palacio de la Revolución</t>
  </si>
  <si>
    <t>https://okdiario.com/espana/2018/11/23/pedro-sanchez-reune-cupula-del-regimen-cubano-palacio-revolucion-3382388?fbclid=IwAR2Fp0Nm8g1fg7lPz-FnEkWhyj0cR6SFtQKZ_r6xzb4Ge14Lrda_mTJSM28</t>
  </si>
  <si>
    <t>Caracas</t>
  </si>
  <si>
    <t>LA TIRANÍA NO PUEDE DERROTAR EL PODER DE LAS IDEAS.</t>
  </si>
  <si>
    <t>María de Tabarnia 🇪🇸 🌺</t>
  </si>
  <si>
    <t>Ya nos avisó hace tres años, mi admirado D. Arturo Pérez-Reverte: «En comparación con Pedro Sánchez, Zapatero va a parecernos Churchill» @perezreverte 💐 RT @perezreverte: Eso si: en comparación con Pedro Sánchez, Zapatero va a parecernos Churchill.</t>
  </si>
  <si>
    <t>https://twitter.com/perezreverte/status/688395883474501632</t>
  </si>
  <si>
    <t>Barcelona, Cataluña, ESPAÑA</t>
  </si>
  <si>
    <t>Enamorada de la Mar y de la Luna, de la cultura, arte, música, deporte, de mis hijos, de Dios, del AMOR... "Cualquier noche de estas, volverá a brillar el Sol".</t>
  </si>
  <si>
    <t>emilio del valle</t>
  </si>
  <si>
    <t>Santander, España</t>
  </si>
  <si>
    <t>Trabajadores.cu</t>
  </si>
  <si>
    <t>Dos memorandos de entendimiento entre Cuba y España fueron suscritos en presencia de @DiazCanelB, Presidente de los Consejos de Estado y de Ministros #Cuba y Pedro Sánchez Pérez-Castejón, Presidente del Gobierno del Reino de España.</t>
  </si>
  <si>
    <t>http://www.trabajadores.cu/20181123/presidente-del-gobierno-espanol-llega-a-cuba-en-visita-oficial/</t>
  </si>
  <si>
    <t>Trabajadores - Órgano de la Central de Trabajadores de Cuba</t>
  </si>
  <si>
    <t>http://www.trabajadores.cu/</t>
  </si>
  <si>
    <t>Francisco Cuaresma Poleo 🇪🇸</t>
  </si>
  <si>
    <t>😰😰😰 "El Gobierno de Pedro Sánchez elige a la periodista separatista Mónica Terribas para moderar un debate sobre los 40 años de la Constitución":</t>
  </si>
  <si>
    <t>https://okdiario.com/espana/2018/11/23/gobierno-elige-separatista-terribas-moderar-debate-sobre-40-anos-constitucion-3381573</t>
  </si>
  <si>
    <t>Estudiante de Derecho en @UC3M. Amante de la política, la naturaleza y la historia. Liberal-Conservador. Entre Huelva​ y Madrid.</t>
  </si>
  <si>
    <t>http://instagram.com/fco_cp/</t>
  </si>
  <si>
    <t>MARION</t>
  </si>
  <si>
    <t>Iglesias asegura que no apoyará a Sánchez para "patrioterismos extraños" en relación con Gibraltar  vía @epnacional</t>
  </si>
  <si>
    <t>Considero más valiente al que conquista sus deseos que al que conquista a sus enemigos,ya que la victoria más dura es la victoria sobre uno mismo.</t>
  </si>
  <si>
    <t>Cs La Victoria</t>
  </si>
  <si>
    <t>#SanchismoEs una corriente vacía de pensamiento a la que solo le importa el poder y está dispuesta a todo para alcanzarlo y mantenerlo. Su miembro fundador es Pedro Sánchez, quien no dudó ni un segundo en pactar con aquellos que quieren romper España para llegar a La Moncloa.</t>
  </si>
  <si>
    <t>pic.twitter.com/viVVTPwdNB</t>
  </si>
  <si>
    <t>La Victoria, España</t>
  </si>
  <si>
    <t>Twitter Cs La Victoria de Acentejo</t>
  </si>
  <si>
    <t>http://canarias.ciudadanos-cs.org</t>
  </si>
  <si>
    <t>Juan Carlos Sánchez</t>
  </si>
  <si>
    <t>Y Pedro Sánchez también advierte. Al final ni chicha ni limona RT @caval100: Theresa May advierte de que protegerá la soberanía británica de Gibraltar frente a las reclamaciones de España</t>
  </si>
  <si>
    <t>https://twitter.com/caval100/status/1065639388678406144
https://www.eldiario.es/internacional/Theresa-May-Comunes-soberania-Gibraltar_0_838516838.html</t>
  </si>
  <si>
    <t>https://pbs.twimg.com/media/Dsnlmk2X4AA_M1V.jpg</t>
  </si>
  <si>
    <t>sevilla</t>
  </si>
  <si>
    <t>Nacido en 1956 fallecido en 9999 TODA UNA VIDA DE EXPERENCIAS</t>
  </si>
  <si>
    <t>Susana Ferro Ilardo</t>
  </si>
  <si>
    <t>TERCERA PARTE “ESPAÑA DEBE “DEJAR EL BLOQUEO POLITICO” Y CONTINUAR SU BUEN RITMO, CONSOLIDANDO LO BIEN LOGRADO E IR POR MÁS.- ¿A QUÉ LE DICE NO, PEDRO SANCHEZ?.- CUANDO EL “NO POR EL NO MISMO” SE TORNA PELIGROSO, ,,  vía @estslatineibers</t>
  </si>
  <si>
    <t>https://estudioslatinoseiberoamericanos.wordpress.com/2016/08/08/espana-debe-dejar-el-bloqueo-politico-y-continuar-su-buen-ritmo-consolidando-lo-bien-logrado-e-ir-por-mas-a-que-le-dice-no-pedro-sanchez-cuando-el-no-p-3/</t>
  </si>
  <si>
    <t>ESPAÑA-SALAMANCA</t>
  </si>
  <si>
    <t>Te invito a visitar el Portal “ESTUDIOS LATINOS E IBEROAMERICANOS” cuyo objeto es la difusión de la actividad intelectual Derecho.-</t>
  </si>
  <si>
    <t>http://estudioslatinoseiberoamericanos.wordpress.com/</t>
  </si>
  <si>
    <t>ESTUDIOS LATINOS E IBEROAMERICANOS (SBFI)...</t>
  </si>
  <si>
    <t>Marisa</t>
  </si>
  <si>
    <t>La mitad del personal de Urgencias de un centro de salud fue destinada a cuidar el mitin de Sánchez y Díaz  ¿Esto lo saben los andaluces? OJO!! Pedro Sánchez viajaba con médico y el transporte también lo pagan todos los andaluces.</t>
  </si>
  <si>
    <t>https://www.elmundo.es/andalucia/2018/11/21/5bf597c7e2704e03438b47b8.html</t>
  </si>
  <si>
    <t>Española hasta morir y Católica. No soporto el insulto y la mentira. Siempre con las Victimas del Terrorismo.</t>
  </si>
  <si>
    <t>Manu Piñón</t>
  </si>
  <si>
    <t>De la afición de Pedro Sánchez al ego herido de Aznar: breve historia de nuestros aviones oficiales  vía @VanityFairSpain</t>
  </si>
  <si>
    <t>https://www.revistavanityfair.es/poder/articulos/pedro-sanchez-aviones-oficiales-cuba-aznar-azores-rey-presidente-guapo/34817</t>
  </si>
  <si>
    <t>Trabajo en @VanityFairSpain, escribo en @GQSpain, canto en @Laredo_es y hago la compra en @DIA_Esp.</t>
  </si>
  <si>
    <t>Anavel</t>
  </si>
  <si>
    <t>😂😂😂😂😂😂 este tipejo se cree el dueño de todo! Vox te cambiará la cara! La RFEF desautoriza a Pedro Sánchez para organizar el Mundial con Marruecos en 2030</t>
  </si>
  <si>
    <t>http://www.despiertainfo.com/2018/11/20/la-rfef-desautoriza-a-pedro-sanchez-para-organizar-el-mundial-con-marruecos-en-2030/?fbclid=IwAR3omCpI0IZfryfqHZxgHL8fKWs3GrU7gd0vXW1-F2kLhDllWKg4qtlS37g</t>
  </si>
  <si>
    <t>Entre el Cielo y la Tierra</t>
  </si>
  <si>
    <t>Si. Anavel con V. El Ángel al Servicio de Dios. Hace tiempo que bajé el volumen de lo que escucho y subí el tono de lo que siento. 🇪🇸🇪🇸🇪🇸🇪🇸🇪🇸</t>
  </si>
  <si>
    <t>Forum Libertas</t>
  </si>
  <si>
    <t>El gobierno de Pedro Sánchez (PSOE) quiere poner fin a la energía nuclear para dentro de veinte años. La cuestión es si España podrá satisfacer el incremento de consumo derivado del uso del coche eléctrico</t>
  </si>
  <si>
    <t>http://www.forumlibertas.com/el-fin-de-las-nucleares-ponen-en-peligro-al-coche-electrico/</t>
  </si>
  <si>
    <t>#diariodigital #católico que apuesta por #independenciainformativa #actualidad en clave #cristiana y #promoción de #libertad #periodicocatolico #diariocatolico</t>
  </si>
  <si>
    <t>http://www.forumlibertas.com</t>
  </si>
  <si>
    <t>https://elpais.com/elpais/2018/11/19/opinion/1542639769_020575.html?id_externo_rsoc=TW_CC</t>
  </si>
  <si>
    <t>SEGUNDA PARTE “ESPAÑA DEBE “DEJAR EL BLOQUEO POLITICO” Y CONTINUAR SU BUEN RITMO, CONSOLIDANDO LO BIEN LOGRADO E IR POR MÁS.- ¿A QUÉ LE DICE NO, PEDRO SANCHEZ?.- CUANDO EL “NO POR EL NO MISMO”  vía @estslatineibers</t>
  </si>
  <si>
    <t>https://estudioslatinoseiberoamericanos.wordpress.com/2016/08/06/espana-debe-dejar-el-bloqueo-politico-y-continuar-su-buen-ritmo-consolidando-lo-bien-logrado-e-ir-por-mas-a-que-le-dice-no-pedro-sanchez-cuando-el-no-p-2/</t>
  </si>
  <si>
    <t>Doble Llave</t>
  </si>
  <si>
    <t>El presidente de #España Pedro Sánchez inició su visita oficial a #Cuba</t>
  </si>
  <si>
    <t>Comunidad Valenciana, España</t>
  </si>
  <si>
    <t>http://bit.ly/2QgbbqC</t>
  </si>
  <si>
    <t>Portal de noticias sobre Venezuela y el mundo. Brindamos contenidos que promueven el bienestar, el resguardo y la prevención integral.</t>
  </si>
  <si>
    <t>http://www.doblellave.com</t>
  </si>
  <si>
    <t>ESTUDIOS LATINOS E IBEROAMERICANOS (SBFI) Atravezamos...</t>
  </si>
  <si>
    <t>Y con la aprobación de PEDRO SANCHEZ Torra: “Iré por el mundo” a denunciar a España “los próximos meses”</t>
  </si>
  <si>
    <t>https://www.lasvocesdelpueblo.com/torra-ire-por-el-mundo-a-denunciar-a-espana-los-proximos-meses/?fbclid=IwAR3gu3MSkv4XxDb7-6S9IXMILj6w4Jy6KugwSRSfoSf2BiVYn_5Q7rl6xL4</t>
  </si>
  <si>
    <t>Rosell</t>
  </si>
  <si>
    <t>Recibió Díaz-Canel al Presidente del Gobierno de España: El presidente de los Consejos de Estado y de Ministros, Miguel Díaz-Canel Bermúdez, recibió este jueves al presidente del Gobierno del Reino de España, excelentísimo señor Pedro Sánchez…</t>
  </si>
  <si>
    <t>http://dlvr.it/Qrwtpm</t>
  </si>
  <si>
    <t>https://pbs.twimg.com/media/DssGoL0U4AAoYJZ.jpg</t>
  </si>
  <si>
    <t>I ♥ Cuba. Follow me and I'll followback ~ Yo ♥ a Cuba. Sígueme y yo te seguiré</t>
  </si>
  <si>
    <t>“ESPAÑA DEBE “DEJAR EL BLOQUEO POLITICO” Y CONTINUAR SU BUEN RITMO, CONSOLIDANDO LO BIEN LOGRADO E IR POR MÁS.- ¿A QUÉ LE DICE NO, PEDRO SANCHEZ?.- CUANDO EL “NO POR EL NO MISMO” SE TORNA PELIGROSO,..  vía @estslatineibers</t>
  </si>
  <si>
    <t>https://estudioslatinoseiberoamericanos.wordpress.com/2016/08/04/espana-debe-dejar-el-bloqueo-politico-y-continuar-su-buen-ritmo-consolidando-lo-bien-logrado-e-ir-por-mas-a-que-le-dice-no-pedro-sanchez-cuando-el-no-p/</t>
  </si>
  <si>
    <t>ESTUDIOS LATINOS E IBEROAMERICANOS (SBFI) HOY, A 23 DE...</t>
  </si>
  <si>
    <t>zaragoza</t>
  </si>
  <si>
    <t>Eﾚ M⊕η†αrαz</t>
  </si>
  <si>
    <t>https://elpais.com/elpais/2018/11/19/opinion/1542639769_020575.html</t>
  </si>
  <si>
    <t>Pedro Sánchez firma un acuerdo difuso sobre "consultas políticas" con la dictadura asesina cubana</t>
  </si>
  <si>
    <t>https://pbs.twimg.com/media/DssF983WoAADDf0.jpg</t>
  </si>
  <si>
    <t>Mordor</t>
  </si>
  <si>
    <t>DANDO LEÑA DESAYUNO, COMIDA Y CENA LOS 365DÍAS/24H. CONTRA TODOS LOS DOGMAS DE LA PROGRESÍA. MENOS ESTADO MÁS LIBERTAD.</t>
  </si>
  <si>
    <t>http://tinyurl.com/yagc3lys</t>
  </si>
  <si>
    <t>🎙 Pedro Sánchez: “Si el gobierno no puede aprobar su principal ley, que son los presupuestos generales del estado, el presidente del gobierno tiene como obligación constitucional someterse a una cuestión de confianza” 👉 #SanchismoEs 👉 #EleccionesYA 🤷🏻‍♂️🤷‍♀️🤷🏻‍♂️🤷‍♀️🤷🏻‍♂️🤷‍♀️🤷🏻‍♂️🤷‍♀️🤷🏻‍♂️🤷‍♀️🤷🏻‍♂️</t>
  </si>
  <si>
    <t>La Habana, Cuba</t>
  </si>
  <si>
    <t>pic.twitter.com/jTlgMPgXHQ</t>
  </si>
  <si>
    <t>Manuel Ruiz</t>
  </si>
  <si>
    <t>Lo de Pedro Sánchez en Cuba hablando sobre derechos humanos es como si nos dicen que está Irán para hablando sobre el embutido ibérico</t>
  </si>
  <si>
    <t>Miguel H Otero</t>
  </si>
  <si>
    <t>Conozca al selecto G-24 que acompaña a Pedro Sánchez en el avión a Cuba "</t>
  </si>
  <si>
    <t>https://alnavio.com/noticia/16040/economia/conozca-al-selecto-g-24-que-acompana-a-pedro-sanchez-en-el-avion-a-cuba.html</t>
  </si>
  <si>
    <t>El Nacional, Los Cortijos</t>
  </si>
  <si>
    <t>Presidente Editor Diario El Nacional</t>
  </si>
  <si>
    <t>https://twitter.com/miguelhotero</t>
  </si>
  <si>
    <t>Alfonso Triviño</t>
  </si>
  <si>
    <t>Especial agradecimiento a María José Rienda que tanto nos ha ayudado en la recta final con su personal intervención, y a Pedro Sánchez implicado en primera persona en el éxito de la Reforma RT @deportegob: ⭕ El Congreso aprueba la reforma del Código Penal que endurecerá las penas a los conductores que causen accidentes con víctimas. @justiciagob, en colaboración con el CSD, y el impulso de @ANNAGONZALEZLO1. Se ha trabajado para mejorar la seguridad de los ciclistas en carretera.</t>
  </si>
  <si>
    <t>https://twitter.com/deportegob/status/1065946712085274624
https://twitter.com/Congreso_Es/status/1065620546228912128</t>
  </si>
  <si>
    <t>Abogado especializado en defensa legal de ciclistas accidentados y de víctimas de accidentes de tráfico</t>
  </si>
  <si>
    <t>ElNota Lebowski</t>
  </si>
  <si>
    <t>Pedro Sánchez le ha dicho a Theresa May que no votarán el acuerdo del Brexit hasta que no retiren los churros rellenos de queso. #NoEsNo</t>
  </si>
  <si>
    <t>https://pbs.twimg.com/media/DssFRPoXgAAuttK.jpg</t>
  </si>
  <si>
    <t>Un tanto desubicado</t>
  </si>
  <si>
    <t>¿sí?...bueno...en fin...eso es...lo que tú opinas tío. También en @vallekurros y http://issuu.com/javierre Actualmente metido en esto: @laordendetoledo</t>
  </si>
  <si>
    <t>https://www.facebook.com/pages/Los-Caballeros-de-la-Orden-de-Toledo/389811014437560</t>
  </si>
  <si>
    <t>Fanjul Segundo</t>
  </si>
  <si>
    <t>Pedro Sánchez ha viajado a Cuba para rendir honores al régimen criminal que ha convertido la isla caribeña en una inmensa cárcel desde hace casi seis décadas. A este personaje cuando haya lecciones no merece ni un voto.</t>
  </si>
  <si>
    <t>Asturiano, Pintor artistico de cuadros al oleo</t>
  </si>
  <si>
    <t>Andrés Cordovés</t>
  </si>
  <si>
    <t>Tengo entendido que el Presidente de Gobierno español es Jefe de Gobierno, pues el Jefe de Estado es el Rey. En este caso el diputado Pedro Sánchez sería jefe de Gobierno, al tiempo que Felipe VI sería jefe de Estado del Reino de España. RT @elestimulo: Pedro Sánchez es el primer jefe de Estado de España que pisa Cuba en 32 años</t>
  </si>
  <si>
    <t>https://twitter.com/elestimulo/status/1065946574558294017
http://bit.ly/2TDEHoO</t>
  </si>
  <si>
    <t>https://pbs.twimg.com/media/DssAwoHXgAAf0_O.jpg</t>
  </si>
  <si>
    <t>🇻🇪 #VenezolanoConTerroir 🍜 #FoodiePasteurizado y ✏️#Lexicultor Director @ElBarCreativo Coord. Municipal Formación @VentePalavecino</t>
  </si>
  <si>
    <t>http://polifaceticamente.wordpress.com</t>
  </si>
  <si>
    <t>Cucacuquita</t>
  </si>
  <si>
    <t>FJL le ha llamado a Pedro Sánchez el Capitán Tan. Cuánta razón. #Chiripitifláuticos 🤣🤣🤣🤣🤣</t>
  </si>
  <si>
    <t>Sevilla, España.</t>
  </si>
  <si>
    <t>Excesiva y ecléctica. Vino y queso saben a beso. Rajoyista por siempre. Originalista. A la recíproca.</t>
  </si>
  <si>
    <t>https://elpais.com/diario/2007/12/30/eps/1198999617_850215.html</t>
  </si>
  <si>
    <t>José Martinez</t>
  </si>
  <si>
    <t>https://www.periodistadigital.com/politica/gobierno/2018/11/23/el-ridiculo-del-inepto-pedro-sanchez-ante-theresa-may-y-su-venganza-por-gibraltar.shtml</t>
  </si>
  <si>
    <t>Oriol Vallès Codina</t>
  </si>
  <si>
    <t>Espectacular Pedro Sánchez petándose el acuerdo del Brexit por Gibraltar</t>
  </si>
  <si>
    <t>pic.twitter.com/RbK0mx3wEK</t>
  </si>
  <si>
    <t>Brooklyn, NY</t>
  </si>
  <si>
    <t>PhD in Economics at the New School for Social Research. Classical Political Economy, Computational Methods, Complexity, Eurozone Crisis. CAT/ESP/ENG</t>
  </si>
  <si>
    <t>https://researchgate.net/profile/Oriol_Valles_Codina</t>
  </si>
  <si>
    <t>Mariana Casanova</t>
  </si>
  <si>
    <t>Se llama Marco Aguiriano, ha revelado una conversación privada entre Pedro Sánchez y Theresa May, y es mejor que no le confíen un secreto de Estado.</t>
  </si>
  <si>
    <t>https://www.revistavanityfair.es/poder/articulos/luis-marco-aguiriano-brexit-ue-theresa-may-pedro-sanchez-este-es-el-hombre-mas-indiscreto-de-europa/34843</t>
  </si>
  <si>
    <t>El Salvador</t>
  </si>
  <si>
    <t>Enamorada de la vida .</t>
  </si>
  <si>
    <t>Lola Pastur</t>
  </si>
  <si>
    <t>Ferreras ya no se esconde y ejerce de jefe de prensa de Sánchez, defendiéndole mientras ataca brutalmente al PP sin venir a cuento  vía @Periodistadigit</t>
  </si>
  <si>
    <t>https://www.periodistadigital.com/periodismo/tv/2018/11/22/ferreras-jefe-de-prensa-pedro-sanchez-rafa-hernando-gobierno-pp-borrell.shtml</t>
  </si>
  <si>
    <t>No entiendo el mundo, pero tengo la suerte de entenderme a mi misma.</t>
  </si>
  <si>
    <t>La Patilla</t>
  </si>
  <si>
    <t>Pedro Sánchez, jefe del gobierno español, inicia su primera visita a Cuba</t>
  </si>
  <si>
    <t>http://j.mp/2FAPBsH</t>
  </si>
  <si>
    <t>Información e Investigación. También puedes encontrarnos en Instagram: http://Instagram.com/la_patilla y Telegram: http://telegram.me/la_patilla 📲</t>
  </si>
  <si>
    <t>http://lapatilla.com</t>
  </si>
  <si>
    <t>Jose Luis del Rio</t>
  </si>
  <si>
    <t>Pedro Sánchez se muestra equidistante en la vergonzosa actuación de Rufián contra su Ministro Borrell. No en vano, que pueda seguir disfrutando de su juguete volador, depende más de los golpistas que de sus Ministros.</t>
  </si>
  <si>
    <t>Vanity Fair España</t>
  </si>
  <si>
    <t>El Twitter oficial de la Revista Vanity Fair España</t>
  </si>
  <si>
    <t>Victoria Ross</t>
  </si>
  <si>
    <t>Fuensanta López</t>
  </si>
  <si>
    <t>Ingeniero Industrial</t>
  </si>
  <si>
    <t>LA VISITA DE SÁNCHEZ A CUBA Pedro Sánchez y Miguel Díaz-Canel se han reunido en el Palacio de los Capitanes Generales de La Habana en el ... -</t>
  </si>
  <si>
    <t>http://page.is/victoria-ross</t>
  </si>
  <si>
    <t>https://www.cosasdeunabailarina.es/la-visita-de-sanchez-a-cuba/</t>
  </si>
  <si>
    <t>https://pbs.twimg.com/media/DssDCMjWoAAjyLT.jpg</t>
  </si>
  <si>
    <t>Profesora de Danza. Viajera. Amante de las Artes y la Música. Periodismo y Publicidad. Sígue mis noticias en:</t>
  </si>
  <si>
    <t>http://www.cosasdeunabailarina.es</t>
  </si>
  <si>
    <t>David Cabrero</t>
  </si>
  <si>
    <t>De ser así, el tema de la exhumación de Franco se va a alargar más de lo deseable por Pedro Sánchez. Se pone todo cada vez más divertido. ¡Qué Gobierno más inepto!</t>
  </si>
  <si>
    <t>https://okdiario.com/espana/2018/11/22/gobierno-reconoce-que-tumba-franco-inviolable-sin-autorizacion-del-prior-3376567</t>
  </si>
  <si>
    <t>Las Palmas de Gran Canaria</t>
  </si>
  <si>
    <t>Abogado y aspirante a Homo Universalis.</t>
  </si>
  <si>
    <t>https://www.facebook.com/david.cabrero</t>
  </si>
  <si>
    <t>Dimas Cuevas Cuerda</t>
  </si>
  <si>
    <t>Opinión semanal en COPE de Dimas Cuevas. Pedro Sánchez El Capitán Tan</t>
  </si>
  <si>
    <t>https://www.cope.es/emisoras/castilla-la-mancha/albacete-provincia/albacete/audios/pedro-sanchez-capitan-tan-20181123_583043</t>
  </si>
  <si>
    <t>Álber Vázquez</t>
  </si>
  <si>
    <t>Ahora mismo, mi gran preocupación es que están dando lluvia para la maratón del domingo. Y Pedro Sánchez en Cuba, sin hacer nada. Los maratonianos somos los grandes olvidados de este gobierno.</t>
  </si>
  <si>
    <t>Rentería</t>
  </si>
  <si>
    <t>Soy el autor de "Muerte en el hielo", "Mediohombre" y "Guerras mescalero en Río Grande" (@esferalibros) y "Monstruoso corazón ardiente" (@ExpedicPolares)</t>
  </si>
  <si>
    <t>http://www.albervazquez.com</t>
  </si>
  <si>
    <t>Chema Clavero</t>
  </si>
  <si>
    <t>Entro en el twitter de ciudadanos y veo que los últimos 13 tuits de las dos últimas horas van destinados a criticar a Pedro Sánchez. Y yo que pensaba que lo que ponían era su programa de gobierno. Igual es que todo su programa de basa en gritar, criticar y mentir</t>
  </si>
  <si>
    <t>Catalán de Huesca. Indepe. Lucha social. Nunca entro en guerras perdidas de antemano.</t>
  </si>
  <si>
    <t>IDEOLOGÍA DE CARTÓN</t>
  </si>
  <si>
    <t>#SanchismoEs -Sí, quién es? -Hola soy el presidente del Gobierno Pedro Sánchez, preguntaba por Pedro Sánchez el líder del PSOE -Sí, soy yo. Qué desea? -Confirmar que no somos la misma persona</t>
  </si>
  <si>
    <t>https://pbs.twimg.com/media/DssCh5_WsAI-50O.jpg</t>
  </si>
  <si>
    <t>Sant Joan de Vilatorrada, Espa</t>
  </si>
  <si>
    <t>Si la educación es cara, prueba con la ignorancia. #NiOlvidoNiPerdón #TabarniaIsNotCatalonia #PrisionPermanenteRevisableYa 🇪🇸</t>
  </si>
  <si>
    <t>Grethel</t>
  </si>
  <si>
    <t>#Cuba Buenos días desde La Habana a todos los que me leen. Hoy es viernes, viernes de mucho trabajo informativo en la redacción de 14ymedio, viernes de "batalla" para conseguir los productos básicos... y viernes de Pedro Sánchez en la Isla. #SánchezCuba</t>
  </si>
  <si>
    <t>https://pbs.twimg.com/media/DssBE34UUAA2Sxx.jpg</t>
  </si>
  <si>
    <t>Del campo de Cuba a la cosmopolita Santiago de Chile, ferviente amante de la libertad. Enamorada de mi familia, mis selectos amigos y de otras pocas cosas más</t>
  </si>
  <si>
    <t>La Tlaxiaqueña</t>
  </si>
  <si>
    <t>#Agenda La Habana.- El presidente del Gobierno español, Pedro Sánchez, participa en el foro empresarial hispano-cubano y hace balance de su visita a Cuba.</t>
  </si>
  <si>
    <t>Heroica Ciudad de Tlaxiaco</t>
  </si>
  <si>
    <t>Radio comunitaria en Tlaxiaco. Noticias y entretenimiento. 91.5 fm</t>
  </si>
  <si>
    <t>http://latlaxiaquena.myl2mr.com/</t>
  </si>
  <si>
    <t>Ambrosía</t>
  </si>
  <si>
    <t>Enhorabuena. Colaborar y aunar ideas de progreso. Pueblos unidos jamás vencidos. VIDEO: Sánchez se reúne con Díaz Canel en primera visita de un presidente español a Cuba en 32 años</t>
  </si>
  <si>
    <t>https://actualidad.rt.com/actualidad/296596-pedro-sanchez-reune-miguel-diaz</t>
  </si>
  <si>
    <t>Soy un Espiritu Revolucionario libre [....] y tu..?</t>
  </si>
  <si>
    <t>Pa_comer</t>
  </si>
  <si>
    <t>Podemos la propuso, pero quien la hizo alcaldesa fue Pedro Sánchez. Sí, este que ha ROBADO una tesis doctoral y se pule el presupuesto de vuelos con el Falcon, en 4 meses.  vía @libertaddigital</t>
  </si>
  <si>
    <t>https://www.libertaddigital.com/espana/2018-11-23/iglesias-baja-los-humos-a-carmena-no-hubiera-sido-alcaldesa-si-no-la-hubieramos-propuesto-1276628725/</t>
  </si>
  <si>
    <t>Generación Enciclopedia Álvarez. Visualizo, participo y no me trago todo lo que leo, veo y escucho.</t>
  </si>
  <si>
    <t>Gabriel Molina</t>
  </si>
  <si>
    <t>¡El Socialismo es Corrupcion, los amigos de España deben sacar al blandenge de Pedro Sanchez! RT @CiudadanosCs: #SanchismoEs una corriente vacía de pensamiento a la que solo le importa el poder y está dispuesta a todo para alcanzarlo y mantenerlo. Su miembro fundador es Pedro Sánchez, quien no dudó ni un segundo en pactar con aquellos que quieren romper España para llegar a La Moncloa.</t>
  </si>
  <si>
    <t>Carabobo, Venezuela</t>
  </si>
  <si>
    <t>CEO @EventumInnova Coordinador @FedeveNacional Marketing Político Booking @YiMinShum</t>
  </si>
  <si>
    <t>https://m.facebook.com/?_rdr#!/GabrielMolinaVP/?ref=bookmarks</t>
  </si>
  <si>
    <t>Rule</t>
  </si>
  <si>
    <t>La que está liando Pedro Sánchez. RT @Strambotic: Los ingleses prosiguen las hostilidades: llegan los churros rellenos de queso para mojar en ketchup.</t>
  </si>
  <si>
    <t>https://twitter.com/Strambotic/status/1065873816595980288
https://blogs.publico.es/strambotic/2018/11/churros-ingleses/</t>
  </si>
  <si>
    <t>https://pbs.twimg.com/media/Dsq-a-NXoAEicbm.jpg</t>
  </si>
  <si>
    <t>Era el mejor de los tiempos, era el peor de los tiempos, la edad de la sabiduría y también de la locura; era domingo pero no había fútbol.</t>
  </si>
  <si>
    <t>José Enrique Leal</t>
  </si>
  <si>
    <t>No entiendo que la mujer de Pedro Sánchez, a quien le han regalado un cargo en el Instituto de Empresa, y por lo tanto digo yo que tendrá algo que hacer, viaje con su marido, ahora a Cuba, como si fuera la Primera Dama.</t>
  </si>
  <si>
    <t>Español, demócrata, ingeniero en informática, padre.</t>
  </si>
  <si>
    <t>Bruselas ningunea a Pedro Sánchez y le deja sin veto sobre Gibraltar  #SanchismoEs españa y cuba</t>
  </si>
  <si>
    <t>https://www.larazon.es/internacional/may-advierte-a-sanchez-protegere-la-soberania-britanica-de-gibraltar-JA20644940</t>
  </si>
  <si>
    <t>pic.twitter.com/Cxw0tZmVEz</t>
  </si>
  <si>
    <t>m.jose</t>
  </si>
  <si>
    <t>https://okdiario.com/espana/2018/11/23/pedro-sanchez-reune-cupula-del-regimen-cubano-palacio-revolucion-3382388#.W_f0zJhkJE4.twitter</t>
  </si>
  <si>
    <t>https://okdiario.com/espana/2018/11/23/pedro-sanchez-reune-cupula-del-regimen-cubano-palacio-revolucion-3382388#.W_f0jZ4MEMg.twitter</t>
  </si>
  <si>
    <t>ALBERTO MOREIRA BARB</t>
  </si>
  <si>
    <t>Maldita hipocresía política ...</t>
  </si>
  <si>
    <t>Ourense, España</t>
  </si>
  <si>
    <t>MÚSICO Y NATURISTA</t>
  </si>
  <si>
    <t>victor rodriguez de</t>
  </si>
  <si>
    <t>El próximo Discurso de Nochebuena lo da Pedro Sánchez, por supuesto con Begoña. El Gordo del 22 Ada Coladeras.</t>
  </si>
  <si>
    <t>Eddy ☭</t>
  </si>
  <si>
    <t>Recibió Díaz-Canel al Presidente del Gobierno de España: El presidente de los Consejos de Estado y de Ministros, Miguel Díaz-Canel Bermúdez, recibió este jueves al presidente del Gobierno del Reino de España, excelentísimo señor Pedro Sánchez…  @cubadebate</t>
  </si>
  <si>
    <t>http://dlvr.it/QrwqLH</t>
  </si>
  <si>
    <t>https://pbs.twimg.com/media/DssBmQWVYAAU_3Y.jpg</t>
  </si>
  <si>
    <t>Soy cubano residente en La Habana. TOP 100 Followers → https://twitter.com/eddyElGallo/lists/top-100-followers/members Seguidores de #FidelCastro 🇨🇺 RT → #CubaAvanza #CubaVsBloqueo #CubaUS</t>
  </si>
  <si>
    <t>https://paper.li/eddyElGallo/1387403102</t>
  </si>
  <si>
    <t>¡¡A ESTE IMPRESENTABLE SOLO LE FALTA LIMPIARSE LOS MOCOS CON LA BANDERA DE ESPAÑA!! ¡¡A ESTE IMPRESENTABLE HAY QUE RECORDARLE QUE LA INFORMACIÓN DEBE SER VERAZ, OBJETIVA E IMPARCIAL!!</t>
  </si>
  <si>
    <t>http://www.periodistadigital.com/periodismo/tv/2018/11/22/ferreras-jefe-de-prensa-pedro-sanchez-rafa-hernando-gobierno-pp-borrell.shtml</t>
  </si>
  <si>
    <t>Gatusalén</t>
  </si>
  <si>
    <t>El perfil de Pedro Sánchez en @Tinder: - "Ambicioso. Amigo de mis amigos. ME GUSTA VIAJAR".</t>
  </si>
  <si>
    <t>https://pbs.twimg.com/media/DssBbbjXcAERwwv.jpg</t>
  </si>
  <si>
    <t>Me encanta la música de La Pantera Rosa. #Viejoven #MEGA #MakeEuropeGreatAgain Anterior @GatoDeSchrodinger</t>
  </si>
  <si>
    <t>#Cuba Buenos días desde La Habana a todos los que me leen. Hoy es viernes, viernes de mucho trabajo informativo en la redacción de @14ymedio, viernes de "batalla" para conseguir los productos básicos... y viernes de Pedro Sánchez en la Isla. #SánchezCuba</t>
  </si>
  <si>
    <t>Sin Poder</t>
  </si>
  <si>
    <t>Lorent como se ve que no conoces a Pedro Sanchez 😂😂😂😂 RT @LORENT_SALEH: Señor Pdte. @sanchezcastejon, quiero pedirle encarecidamente que no desaproveche la oportunidad de visitar Cuba y hablar con el jefe del régimen cubano para interceder por la Libertad de los presos políticos en Cuba y Venezuela, y el respeto a los #DDHH. Confío en usted.</t>
  </si>
  <si>
    <t>https://twitter.com/LORENT_SALEH/status/1065934789692325889</t>
  </si>
  <si>
    <t>El Estímulo</t>
  </si>
  <si>
    <t>Pedro Sánchez es el primer jefe de Estado de España que pisa Cuba en 32 años</t>
  </si>
  <si>
    <t>http://bit.ly/2TDEHoO</t>
  </si>
  <si>
    <t>Los contenidos informativos que te mueven. Noticias, análisis y opinión. Portal multimedios para @el_interes @revistaclimax @bienmesabe_ @UB_Magazine</t>
  </si>
  <si>
    <t>http://www.elestimulo.com</t>
  </si>
  <si>
    <t>Raúl Gallart Pérez</t>
  </si>
  <si>
    <t>#SanchismoEs ser Pedro Sánchez o ser el Presidente del Gobierno según le convenga a sus intereses y no a los de España.</t>
  </si>
  <si>
    <t>pic.twitter.com/KaXRjxIYqY</t>
  </si>
  <si>
    <t>Alzira, España</t>
  </si>
  <si>
    <t>Lo que más trabajo cuesta, más dulce se muestra. Vivo y me desvivo por mis seres queridos. @CiudadanosCs</t>
  </si>
  <si>
    <t>https://www.youtube.com/channel/UC03ra7_FNqzCzVs43anV2Mg</t>
  </si>
  <si>
    <t>COPE Albacete</t>
  </si>
  <si>
    <t>AUDIO La Opinión de @Dimas_Cuevas Pedro Sánchez "El Capitán Tan"</t>
  </si>
  <si>
    <t>https://www.cope.es/a/583043</t>
  </si>
  <si>
    <t>https://pbs.twimg.com/media/DssATB4XoAEsJny.jpg</t>
  </si>
  <si>
    <t>ALBACETE</t>
  </si>
  <si>
    <t>97.4 FM - 105.6 FM - 94.6 FM</t>
  </si>
  <si>
    <t>Pedro 1312</t>
  </si>
  <si>
    <t>#SanchismoEs #EleccionesYa #EleccionesAndaluzas hay un tal Pedro Sánchez que es más ridículo y peor que Zapatero, pues el Sanchismo son los que le votan👇</t>
  </si>
  <si>
    <t>https://pbs.twimg.com/media/DssAWSeWsAUR_PZ.jpg</t>
  </si>
  <si>
    <t>Puerto de Mazarrón--Cartagena</t>
  </si>
  <si>
    <t>En política me gusta el azul, en música el Hard Rock/Heavy. Serio y solitario. Los amigos los cuento con los dedos de una mano y me sobran dedos..</t>
  </si>
  <si>
    <t>Cs CLM</t>
  </si>
  <si>
    <t>👉🏻 Una palabra más del diccionario político de Pedro Sánchez que surge al negociar en la cárcel con Podemos👇🏻 #SanchismoEs</t>
  </si>
  <si>
    <t>https://pbs.twimg.com/media/DssAV-rXgAAQItv.jpg</t>
  </si>
  <si>
    <t>Castilla-La Mancha</t>
  </si>
  <si>
    <t>Perfil Oficial. Partido político progresista, surgido de un movimiento de ciudadanos que quieren regenerar la política. https://www.facebook.com/CiudadanosCLM/</t>
  </si>
  <si>
    <t>http://castillalamancha.ciudadanos-cs.org</t>
  </si>
  <si>
    <t>Rodrigo Rui</t>
  </si>
  <si>
    <t>2018 SEMANA 47 (02) CGPJ _______ "Pedro Sánchez deja fuera del Consejo General del Poder Judicial a Victoria Rosell, la apuesta de Pablo Iglesias" ¿Un juez progresista de verdad en el...</t>
  </si>
  <si>
    <t>https://www.facebook.com/permalink.php?story_fbid=2174294372791113&amp;id=100006317147425</t>
  </si>
  <si>
    <t>Santiago de Compostela</t>
  </si>
  <si>
    <t>Se leer, escribir y contar con los dedos y, sin embargo, no voy presumiendo por ahí.</t>
  </si>
  <si>
    <t>http://facebook.com/profile.php?id=100006317147425</t>
  </si>
  <si>
    <t>Uruguay al toque!</t>
  </si>
  <si>
    <t>Pedro Sánchez habló con Theresa May y reiteró qué hará España si no hay cambios sobre Gibraltar: “Vetaremos el Brexit”</t>
  </si>
  <si>
    <t>https://www.uruguayaltoque.uy/pedro-sanchez-hablo-con-theresa-may-y-reitero-que-hara-espana-si-no-hay-cambios-sobre-gibraltar-vetaremos-el-brexit/</t>
  </si>
  <si>
    <t>https://pbs.twimg.com/media/Dsr-19AUwAAZXda.jpg</t>
  </si>
  <si>
    <t>Salto, Uruguay</t>
  </si>
  <si>
    <t>noticias interactivas para todo el país!</t>
  </si>
  <si>
    <t>http://www.uruguayaltoque.uy</t>
  </si>
  <si>
    <t>Edwars Queen</t>
  </si>
  <si>
    <t>- Pedro Sánchez no verá a la oposición cubana para no desairar al castrismo en su viaje a la isla  vía @elmundoes</t>
  </si>
  <si>
    <t>http://ELMUNDO.ES
https://www.elmundo.es/espana/2018/11/21/5bf5ab23e2704ea02f8b4581.html</t>
  </si>
  <si>
    <t>Aportando mi granito de arena, para recuperar la Democracia a mi amada Venezuela.</t>
  </si>
  <si>
    <t>Carlos F. Valledor</t>
  </si>
  <si>
    <t>Sánchez contra los barones II: la apuesta por el &amp;amp;#039;superdomingo&amp;amp;amp;#039; augura tensión en el PSOE</t>
  </si>
  <si>
    <t>https://buff.ly/2DTF8GX</t>
  </si>
  <si>
    <t>Todos somos muy ignorantes. Lo que ocurre es que no todos ignoramos las mismas cosas.</t>
  </si>
  <si>
    <t>Juan Carlos</t>
  </si>
  <si>
    <t>Pedro Sánchez cumple siempre su palabra😡😡😡😡</t>
  </si>
  <si>
    <t>https://okdiario.com/espana/2018/11/23/abogada-general-del-estado-defiende-primacia-del-catalan-euskera-gallego-sobre-espanol-3380447</t>
  </si>
  <si>
    <t>Andalucía, España</t>
  </si>
  <si>
    <t>Ceuta</t>
  </si>
  <si>
    <t>bloguero y columnista</t>
  </si>
  <si>
    <t>http://heptaadelphoi.blogspot.com/</t>
  </si>
  <si>
    <t>Moncloa Noticias</t>
  </si>
  <si>
    <t>Pedro Sánchez habló con Theresa May y reiteró qué hará España si ....</t>
  </si>
  <si>
    <t>http://bit.ly/2PQgkX0</t>
  </si>
  <si>
    <t>Noticias del ocupante de la Moncloa: Pedro Sánchez (PSOE)</t>
  </si>
  <si>
    <t>🦅Karcel-Seta 🇪🇸 🇺🇲 🇨🇵 🇮🇱</t>
  </si>
  <si>
    <t>El señor @JosepBorrellF no parece tener mucho amor propio. Por dignidad, y a la vista del poco caso que a su honor hace el presidente NO ELECTO @sanchezcastejon , tendría que dimitirse ya y dejar de dar una coartada al gobierno del partido traidor @PSOE</t>
  </si>
  <si>
    <t>https://okdiario.com/opinion/2018/11/22/indignidad-pedro-sanchez-borrell-3380779</t>
  </si>
  <si>
    <t>España 🇪🇸🇪🇸</t>
  </si>
  <si>
    <t>Facha recalcitrante. Cuando la mugre golpista, batasuna o progre comunisto-sociata me llama FACHA, me llena de orgullo</t>
  </si>
  <si>
    <t>Radio YA</t>
  </si>
  <si>
    <t>#Podcast | #EnLaBocaDelLobo @sanchezcastejon haciendo negocios con la dictadura cubana después de sus lecciones sobre el franquismo. 📻</t>
  </si>
  <si>
    <t>https://www.ivoox.com/30277324</t>
  </si>
  <si>
    <t>http://www.radioya.es</t>
  </si>
  <si>
    <t>PasoDeTi</t>
  </si>
  <si>
    <t>Comenta Pedro Sánchez que en el próximo vuelo en el Falcon le van a acompañar los presupuestos generales del estado #SanchismoEs #DaRisa</t>
  </si>
  <si>
    <t>pic.twitter.com/C7Al35PsuW</t>
  </si>
  <si>
    <t>Infobae América</t>
  </si>
  <si>
    <t>Pedro Sánchez habló con Theresa May y reiteró qué hará España si no hay cambios sobre Gibraltar: "Vetaremos el Brexit"</t>
  </si>
  <si>
    <t>https://ibae.am/2r3iPq8</t>
  </si>
  <si>
    <t>https://pbs.twimg.com/media/Dsr9ubiWoAABK3s.jpg</t>
  </si>
  <si>
    <t>Las últimas noticias de Latinoamérica y del mundo. Todo el tiempo. WhatsApp: +1 786 328 2901 https://app.infobae.com/#america</t>
  </si>
  <si>
    <t>http://infobae.com/america</t>
  </si>
  <si>
    <t>Ciudadanos Cantabria</t>
  </si>
  <si>
    <t>🔴 #SanchismoEs gobernar a golpe de decretazo, haciendo saltar por los aires el consenso parlamentario e imponiendo decisiones unilaterales. 👉🏻 Su fundador es Pedro Sánchez, que no dudó ni un segundo en pactar con aquellos que quieren romper España para llegar a La Moncloa.</t>
  </si>
  <si>
    <t>https://pbs.twimg.com/media/Dsr8sQOWoAAQKP-.jpg</t>
  </si>
  <si>
    <t>Perfil oficial de @CiudadanosCs en #Cantabria 📲 Conecta en Facebook: http://facebook.com/CsCantabria y Telegram: https://t.me/CsCantabria</t>
  </si>
  <si>
    <t>http://cantabria.ciudadanos-cs.org/</t>
  </si>
  <si>
    <t>javitorres</t>
  </si>
  <si>
    <t>Borja Valle , Somma e Gerard Valentín fora da convocatoria. Por lesión Alex Bergantiños , Pedro Sánchez e Dubarbier . RT @RCDeportivo: Listaxe d #osnosos convocados para a 15ª xornada de @LaLiga. Mañá ás 18:00 h. no Estadio #ABANCARIAZOR, #DéporOsasuna! #DaleDÉ</t>
  </si>
  <si>
    <t>https://twitter.com/rcdeportivo/status/1065941494912245761</t>
  </si>
  <si>
    <t>https://pbs.twimg.com/media/Dsr8I_FWsAEYEAP.jpg</t>
  </si>
  <si>
    <t>Oleiros, A Coruña, Galicia</t>
  </si>
  <si>
    <t>Periodista. @RadioGalega @GALICIANGOLES . De Ourense e do Couto. Un dia visité Graceland, otro Nashville y también nadé con Sting. Padre de la coruñesa Sara.</t>
  </si>
  <si>
    <t>puchilín</t>
  </si>
  <si>
    <t>Ha sido dejar de ser Pedro Sánchez y convertirme en el Doctor Presidente y aficionarme a volar cosa fina #SanchismoES</t>
  </si>
  <si>
    <t>https://pbs.twimg.com/media/Dsr9lYiWwAE1nTb.jpg</t>
  </si>
  <si>
    <t>Astur,andaluz,català i valencià, muy español.Peruano por amor 🇵🇪</t>
  </si>
  <si>
    <t>cubanilluminati</t>
  </si>
  <si>
    <t>Excelentes palabras d Albert Rivera así como le decimos a Pedro Sánchez si a ustedes no le interesa el pueblo Cubano,la oposición cubana,bueno déjeme decirle algo el pueblo Cubano no lo quiere ni lo reconocerá pues no queremos más adulones d la tiranía y si presidentes con moral RT @barbara_bitar: 👏 ES VERGONZOSA E INMORAL LA VISITA DE @sanchezcastejon A #CUBA A REUNIRSE CON EL DICTADOR @DiazCanelB Y #CASTRO RESPONSABLES DE CRÍMENES DE LESA HUMANIDAD #España #NoNegocioConDictaduras NO ES ÉTICO Y PEOR IGNORA A LOS DEMÓCRATAS 🇨🇺 ACOSADOS ENCARCELADOS @ALDEgroup</t>
  </si>
  <si>
    <t>https://twitter.com/barbara_bitar/status/1065912363147235328
https://twitter.com/ciudadanoscs/status/1065597757673652229</t>
  </si>
  <si>
    <t>especial me haria que se extingiera el comunismo</t>
  </si>
  <si>
    <t>jose carlos lorenzo</t>
  </si>
  <si>
    <t>Prácticamente todas las grandes medidas planteadas por Pedro Sánchez son criticadas (de forma expresa o implícita). Y, al mismo tiempo, se proponen...</t>
  </si>
  <si>
    <t>https://www.libremercado.com/2018-11-22/la-comision-el-fmi-y-la-ocde-destrozan-la-politica-economica-de-sanchez-1276628717/</t>
  </si>
  <si>
    <t>CarlosSanchezBerzain</t>
  </si>
  <si>
    <t>Repudio al vergonzoso apoyo de @sanchezcastejona a dictadura de #Cuba, que lo hace cómplice de violaciones a #DDHH, presos políticos y crímenes, obedeciendo a #Podemos para seguir en el gobierno de #España:Pedro Sánchez llega a La Habana  via @DLasAmericas</t>
  </si>
  <si>
    <t>https://www.diariolasamericas.com/c4167024</t>
  </si>
  <si>
    <t>Abogado,Politólogo,Master en Ciencia Política y Sociología. Catedrático. Estadista perseguido y exiliado político.Director Interamerican Institute for Democracy</t>
  </si>
  <si>
    <t>http://www.carlossanchezberzain.com</t>
  </si>
  <si>
    <t>Elazote</t>
  </si>
  <si>
    <t>Top 4 de "Periodistas" que me producen arcadas 1. La histérica de @elisabeni 2. El inculto hooligan de Pedro Sánchez @JesusCintora 3. El director del panfleto  @iescolar 4. La valedora del independentismo y manipuladora Laura Rosel</t>
  </si>
  <si>
    <t>http://Diario.es</t>
  </si>
  <si>
    <t>shoniap</t>
  </si>
  <si>
    <t>¿Qué es el Sanchismo? El Sanchismo lo componen muchas lindezas con las que nos está ilustrando el Sr. Pedro Sánchez. Una de ellas su sorprendente manejo de la situación del "incidente Rufián": la culpa es de los demás. #SanchismoEs Gran lección de educación, sí señor.</t>
  </si>
  <si>
    <t>https://pbs.twimg.com/media/Dsr8chtW0AAAp8o.jpg</t>
  </si>
  <si>
    <t>Pamplona, España</t>
  </si>
  <si>
    <t>Responsable de ciudadanía y movilidad de @cs_navarra_. Delegada experta en Protección de Datos y coordinadora de proyectos formativos.</t>
  </si>
  <si>
    <t>http://navarra.ciudadanos-cs.org</t>
  </si>
  <si>
    <t>ANÁLISIS. ¿Cuenta el gabinete de Pedro Sánchez con una estrategia de comunicación cohesionada y planificada o cada Ministerio actúa por libre?</t>
  </si>
  <si>
    <t>https://pbs.twimg.com/media/Dsr8a_1W0AI0oUk.jpg</t>
  </si>
  <si>
    <t>JC Arny</t>
  </si>
  <si>
    <t>Cómo y por qué Pedro Sánchez ha estropeado su experimento</t>
  </si>
  <si>
    <t>https://paper.li/jc_karnak23/1421946456?read=https%3A%2F%2Fwww.eldiario.es%2Fzonacritica%2FPedro-Sanchez-estropeado-experimento_6_838226218.html</t>
  </si>
  <si>
    <t>Mijas (Málaga) - España</t>
  </si>
  <si>
    <t>Fotógrafo, Libertario, Racional. LIBERTAD, IGUALDAD Y JUSTICIA no pueden ser Censuradas ni Manipuladas,</t>
  </si>
  <si>
    <t>Cs Barbadás</t>
  </si>
  <si>
    <t>Las mentiras de Pedro Sánchez. #SanchismoEs</t>
  </si>
  <si>
    <t>Córdoba, España</t>
  </si>
  <si>
    <t>pic.twitter.com/lCEh6J2Cyq</t>
  </si>
  <si>
    <t>CUBA - Pedro Sánchez no se reunirá con la oposición al castrismo en su viaje a Cuba - @giovdemichele -  vía @indpcom</t>
  </si>
  <si>
    <t>https://www.elindependiente.com/politica/2018/11/21/pedro-sanchez-no-se-reunira-la-oposicion-al-castrismo-viaje-cuba/?utm_source=share_buttons&amp;utm_medium=twitter&amp;utm_campaign=social_share</t>
  </si>
  <si>
    <t>jose silva</t>
  </si>
  <si>
    <t>La primera ministra británica, Theresa May, pidió "apoyo y solidaridad" al presidente del Gobierno español, Pedro Sánchez, para que no ponga obstáculos al acuerdo de retirada del Reino Unido de la UE👍</t>
  </si>
  <si>
    <t>https://pbs.twimg.com/media/Dsr71YxXcAAywOv.jpg</t>
  </si>
  <si>
    <t>En Jake</t>
  </si>
  <si>
    <t>🔴 Pedro Sánchez en la cuerda floja: ▪️Relaciones rotas con @Esquerra_ERC ▪️Ministra Delgado reprobada ▪️El acuerdo del CGPJ roto #EnJakeETB | DIRECTO ➡️  @Xlapitz</t>
  </si>
  <si>
    <t>http://www.eitb.eus/es/television/programas/en-jake/</t>
  </si>
  <si>
    <t>https://pbs.twimg.com/media/Dsr7kimXgAUzQ2B.jpg</t>
  </si>
  <si>
    <t>Bilbao, España</t>
  </si>
  <si>
    <t>@Xlapitz presenta En Jake en @euskaltelebista de lunes a viernes, a las 11h30 en ETB2. Toda la actualidad desde la perspectiva de Euskadi.</t>
  </si>
  <si>
    <t>Ciudadanos Madrid</t>
  </si>
  <si>
    <t>🤓 #SanchismoEs una corriente vacía de principios y a la que solo le importa el poder. Su fundador, Pedro Sánchez no ha dudado en negociar un pacto de indultos a los que dieron un golpe a nuestra democracia 👇</t>
  </si>
  <si>
    <t>https://pbs.twimg.com/media/Dsr3x_kXgAAOVnl.jpg</t>
  </si>
  <si>
    <t>Perfil oficial de @CiudadanosCs en la COMUNIDAD de MADRID. 📲 Conecta en Facebook: http://bit.ly/FBCsMad y Telegram: https://t.me/CsMadrid 🍊</t>
  </si>
  <si>
    <t>http://asamblea-madrid.ciudadanos-cs.org/</t>
  </si>
  <si>
    <t>Pedro Sánchez "el doctor Decretos" le encanta ir de turismo a ver viejos dictadores en su Falcon #SanchismoES</t>
  </si>
  <si>
    <t>https://pbs.twimg.com/media/Dsr7TRDXgAA_jlP.jpg</t>
  </si>
  <si>
    <t>ABC.es</t>
  </si>
  <si>
    <t>José Daniel Ferrer: «Es posible que liberen a presos para decir que la visita de Pedro Sánchez a Cuba ha sido un éxito»</t>
  </si>
  <si>
    <t>http://ver.abc.es/r47g22</t>
  </si>
  <si>
    <t>Diario ABC. También en https://www.abc.es https://www.facebook.com/ABCes/ https://www.instagram.com/abc_diario/ https://www.linkedin.com/company/diario-abc/</t>
  </si>
  <si>
    <t>http://www.abc.es</t>
  </si>
  <si>
    <t>Cs ComValenciana</t>
  </si>
  <si>
    <t>✍️#SanchismoEs una corriente vacía de pensamiento 💭 a la que solo le importa el poder y está dispuesta a todo por alcanzarlo 🙄 👉¿Su impulsor? Pedro Sánchez 👉¿Su fin? Atrincherarse en Moncloa 🏛️</t>
  </si>
  <si>
    <t>https://pbs.twimg.com/media/Dsr7FTnWsAAjNdj.jpg</t>
  </si>
  <si>
    <t>Comunidad Valenciana. España</t>
  </si>
  <si>
    <t>Perfil oficial de @CiudadanosCs en la Comunidad Valenciana. 📲Conecta con nosotros en Facebook https://goo.gl/hZo8B2X y en Instagram https://goo.gl/hZUHsL</t>
  </si>
  <si>
    <t>http://cortes-valencianas.ciudadanos-cs.org</t>
  </si>
  <si>
    <t>Arcaravan7</t>
  </si>
  <si>
    <t>Vejer de la Frontera, España</t>
  </si>
  <si>
    <t>El miedo va a cambiar de bando. Madridista con el corazón a la izquierda ❤️💛💙</t>
  </si>
  <si>
    <t>David Hermoso</t>
  </si>
  <si>
    <t>¿Cuenta el gabinete de Pedro Sánchez con una estrategia de comunicación cohesionada y planificada?</t>
  </si>
  <si>
    <t>http://dlvr.it/QrwjZz</t>
  </si>
  <si>
    <t>https://pbs.twimg.com/media/Dsr60MxUUAEYqvn.jpg</t>
  </si>
  <si>
    <t>Alicante | España</t>
  </si>
  <si>
    <t>Comunicación ☆ Protocolo ☆ Organización de eventos ☆ Marketing digital ☆ Seguridad ☆ Protección de datos ☆ 🇪🇸</t>
  </si>
  <si>
    <t>https://www.instagram.com/davidhermosor/</t>
  </si>
  <si>
    <t>Si Soy Izquierda</t>
  </si>
  <si>
    <t>En @elconfidencial: Sánchez contra los barones II: la apuesta por el 'superdomingo' augura tensión en el PSOE</t>
  </si>
  <si>
    <t>Asturias, Principado de Asturias</t>
  </si>
  <si>
    <t>Néstor Laso</t>
  </si>
  <si>
    <t>Pedro Sánchez se negó a reunirse con los disidentes cubanos en su viaje a la isla. Su esposa en guiño al régimen castrista, lució un "rojo pasión". Fuertes críticas en España y Europa. La 'reina roja' Begoña Gómez se corona en Cuba  vía @elmundoes</t>
  </si>
  <si>
    <t>Abogado y Exp.en Relaciones Gubernamentales y Derecho Internacional. Otros Títulos Oficiales y Cursos Prof.Trato de ser cada día mejor profesional y ser humano.</t>
  </si>
  <si>
    <t>Hoy Honduras</t>
  </si>
  <si>
    <t>Pedro Sánchez y Theresa May (AP) El Gobierno español mantiene su veto al acuerdo entre la Unión Europea y el...</t>
  </si>
  <si>
    <t>Honduras</t>
  </si>
  <si>
    <t>Instagram: hoyhonduras https://www.facebook.com/Hoy-Honduras-1155673084549257/</t>
  </si>
  <si>
    <t>http://www.hoyhonduras.news</t>
  </si>
  <si>
    <t>Adriana Bonezzi</t>
  </si>
  <si>
    <t>#eleccionesya Sánchez contra los barones II: la apuesta por el 'superdomingo' augura tensión en el PSOE</t>
  </si>
  <si>
    <t>Periodista</t>
  </si>
  <si>
    <t>Relaciones Institucionales. Lobby. Mujer. Derecho. España. Italia. Congreso d los Diputados. Sociedad. Salud. Liderazgo. Influencia. Moda. Disfruta de la Vida.</t>
  </si>
  <si>
    <t>http://www.leti.com/www.diubaldoabogados.com</t>
  </si>
  <si>
    <t>Aránzazu 🧡🦑</t>
  </si>
  <si>
    <t>Los periódicos ingleses hablando de Pedro Sánchez como el Prime Minister de España, ahora, como tú digas que Teresa May es la Presidenta se te echan encima. Queridos periodistas británicos, en España tenemos Rey y Presidente y en UK teneis Reina y Primera Ministra. Easy peasy...</t>
  </si>
  <si>
    <t>The journey of a thousand miles begins with a single step || 📍Belfast 👮🏻‍♀️</t>
  </si>
  <si>
    <t>El doctor Pedro Sánchez "El usurpador" #SanchismoES</t>
  </si>
  <si>
    <t>https://pbs.twimg.com/media/Dsr6KsOX4AIvUNs.jpg</t>
  </si>
  <si>
    <t>Theon Greyjoy</t>
  </si>
  <si>
    <t>Sánchez asegura que el Gobierno "vetará" el acuerdo del Brexit si no defiende "los intereses de España" sobre Gibraltar  Vía @Eldiarioes</t>
  </si>
  <si>
    <t>https://www.eldiario.es/politica/Pedro-Sanchez-Espana-Brexit-Gibraltar_0_838517223.html</t>
  </si>
  <si>
    <t>Otra grieta en el muro</t>
  </si>
  <si>
    <t>M. Angel Alvarez S.</t>
  </si>
  <si>
    <t>El #SanchismoEs decir un día que nunca pactaría con independentistas y al día siguiente hacerlo y pagar su apoyo con innumerables privilegios. Pero bueno, antes era solo Pedro Sánchez y ahora es el Presidente...</t>
  </si>
  <si>
    <t>https://pbs.twimg.com/media/Dsr6KRlWwAA1NQ8.jpg</t>
  </si>
  <si>
    <t>Coria del Río, España</t>
  </si>
  <si>
    <t>Toma tu cruz y sígueme.</t>
  </si>
  <si>
    <t>El #SanchismoEs decir una cosa como Pedro Sánchez y otra diferente como Presidente del Gobierno. Critico los decretazos y vocifero delante de las cámaras que eso no es forma de gobernar y cuando le me toca a mí hago todo lo que critico...</t>
  </si>
  <si>
    <t>https://pbs.twimg.com/media/Dsr6KRdXoAAq4pH.jpg</t>
  </si>
  <si>
    <t>Raimon de Tabarnia</t>
  </si>
  <si>
    <t>Pedro Sánchez, un tipo sin escrúpulos para mantenerse en la Moncloa. Aunque sea con compañeros golpistas #SanchismoEs</t>
  </si>
  <si>
    <t>https://pbs.twimg.com/media/Dsr6KJIXcAAD1L2.jpg</t>
  </si>
  <si>
    <t>Tabarnia</t>
  </si>
  <si>
    <t>Hispaniae subjugator. La razón y la convivencia nunca serán derrotadas por la manipulación.</t>
  </si>
  <si>
    <t>SauronCraig-75</t>
  </si>
  <si>
    <t>Hay un personaje de narcos México que es clavadoa pedro Sánchez</t>
  </si>
  <si>
    <t>En una galaxia muy muy lejana</t>
  </si>
  <si>
    <t>Friki amante de la política,economía y la historia. Fan de star wars,south park,el señor de los anillos,stargate ,doctor who,battlestar Galactica y Alien</t>
  </si>
  <si>
    <t>Abuelo Bala</t>
  </si>
  <si>
    <t>Pedro Sánchez visita Cuba como representante de las empresas del Ibex. #ElCapitalismoLlegaACuba</t>
  </si>
  <si>
    <t>Dejemos de creer en la autoridad y empecemos a creer los unos en los otros.</t>
  </si>
  <si>
    <t>Carles Dijous (AAlb)</t>
  </si>
  <si>
    <t>#Elecciones europeas: Sánchez contra los barones II: la apuesta por el superdomingo electoral en Mayo augura tensión en el #PSOE</t>
  </si>
  <si>
    <t>http://bit.ly/2OVFSMR</t>
  </si>
  <si>
    <t>Barcelona, Catalonia</t>
  </si>
  <si>
    <t>Colaborador docente UOC (Universitat Oberta de Catalunya). ICT observer. More: http://bit.ly/1LK7xZf</t>
  </si>
  <si>
    <t>http://world2digits.blogspot.com/</t>
  </si>
  <si>
    <t>XU ✌🍊</t>
  </si>
  <si>
    <t>A ésto juega Pedro Sánchez en el borde del abismo. 😏 No le queda otro remedio con los socios que ha buscado. ❌ #SanchismoEs RT @CsLaRioja: 🤔 ¿Va a indultar "El Sanchismo" a quienes han intentado liquidar nuestra democracia? 🤔 ¿Puede haber impunidad ante quien intenta liquidar un país? 👉 Ante este pacto inmoral y humillante para el pueblo español, decimos alto y claro: NO a los indultos, SÍ a la Justicia.</t>
  </si>
  <si>
    <t>MADRID</t>
  </si>
  <si>
    <t>https://twitter.com/CsLaRioja/status/1065627412816412678</t>
  </si>
  <si>
    <t>pic.twitter.com/lkxSW3Gsj8</t>
  </si>
  <si>
    <t>El naranja es mi color</t>
  </si>
  <si>
    <t>❓ ¿#SanchismoEs? 📚 Según el #DiccionarioPolítico, dícese de la corriente política cuya única finalidad es llegar al poder a cualquier precio. 👤 Su fundador, Pedro Sánchez, optó por ‘podemizarse’ y legitimar a aquellos que quieren romper el país.</t>
  </si>
  <si>
    <t>https://pbs.twimg.com/media/Dsr5ZisX4AAN_EF.jpg</t>
  </si>
  <si>
    <t>👉🏻 Seguimos con más diccionario político... Aquí te dejamos el término que aplica Pedro Sánchez para no llegar a acuerdos con el resto de fuerzas parlamentarias. #SanchismoEs</t>
  </si>
  <si>
    <t>https://pbs.twimg.com/media/Dsr5zJ5WwAAWpSB.jpg</t>
  </si>
  <si>
    <t>FM MAS 93.5</t>
  </si>
  <si>
    <t>http://masfm935.com.ar/pedro-sanchez-hablo-con-theresa-may-y-reitero-que-hara-espana-si-no-hay-cambios-sobre-gibraltar-vetaremos-el-brexit/</t>
  </si>
  <si>
    <t>https://pbs.twimg.com/media/Dsr5y46VAAISjrQ.jpg</t>
  </si>
  <si>
    <t>La Rioja</t>
  </si>
  <si>
    <t>Contanos tu historia, la hacemos noticia.</t>
  </si>
  <si>
    <t>http://masfm935.com.ar</t>
  </si>
  <si>
    <t>Juan Vidal</t>
  </si>
  <si>
    <t>EL EXPRESIDENTE ESPAÑOL FELIPE GONZALE LE DEJA CLARO AL AMIGO DE ASESINOS PEDRO SANCHEZ.. QUE EL PREFIERE UN GOBIERNO FRANQUISTA QUE EL COMUNISMO QUE PODEMOS QUIERE IMPLANTAR EN ESPAÑA</t>
  </si>
  <si>
    <t>nací...y llevo desde entonces dando vueltas...</t>
  </si>
  <si>
    <t>Ciudadanos</t>
  </si>
  <si>
    <t>Perfil Oficial de Ciudadanos. Somos un partido liberal progresista, demócrata y constitucionalista. Imposible es solo una opinión.</t>
  </si>
  <si>
    <t>http://www.ciudadanos-cs.org/</t>
  </si>
  <si>
    <t>lopezbarrancojavier</t>
  </si>
  <si>
    <t>Pablo Casado critica la visita de Pedro Sánchez a Cuba. De Fraga y Asnar no dice nada este la moralidad la tiene para mentir que cinico y hipocrita es</t>
  </si>
  <si>
    <t>https://pbs.twimg.com/media/Dsr5VzrXQAA-Q1u.jpg</t>
  </si>
  <si>
    <t>A.C. Súmate</t>
  </si>
  <si>
    <t>Opositora cubana Berta Soler insiste en ser escuchada por el presidente Pedro Sánchez  vía @DLasAmericas</t>
  </si>
  <si>
    <t>https://www.diariolasamericas.com/c4166959</t>
  </si>
  <si>
    <t>...Construimos Democracia</t>
  </si>
  <si>
    <t>http://www.sumate.org</t>
  </si>
  <si>
    <t>Apuntoenlinea</t>
  </si>
  <si>
    <t>https://ift.tt/2r0NwMt</t>
  </si>
  <si>
    <t>Maracaibo, Venezuela</t>
  </si>
  <si>
    <t>Bienvenidos al twitter de Apunto con Juan Carlos Fernández! La ventana plural para la discusión de las ideas!</t>
  </si>
  <si>
    <t>http://apuntoenlinea.com</t>
  </si>
  <si>
    <t>Tanta Europa</t>
  </si>
  <si>
    <t>Pedro Sánchez insiste en la oposición de España sobre Gibraltar: "Si no hay cambios, vetaremos el 'brexit'"</t>
  </si>
  <si>
    <t>http://ver.20m.es/dlw8r7</t>
  </si>
  <si>
    <t>https://pbs.twimg.com/media/Dsr5a2WWoAA5oNK.jpg</t>
  </si>
  <si>
    <t>Europa</t>
  </si>
  <si>
    <t>¿En qué te afecta a ti estar en Europa? I Facebook: http://on.fb.me/VKq4O8</t>
  </si>
  <si>
    <t>http://ver.20m.es/lqwhq</t>
  </si>
  <si>
    <t>LeaUE</t>
  </si>
  <si>
    <t>#Resolución Pedro Sánchez es el actual Presidente del Gobierno de España, gracias a la moción de censura presentada en Junio de este mismo año.</t>
  </si>
  <si>
    <t>https://pbs.twimg.com/media/Dsr5YHZXoAEXkL5.jpg</t>
  </si>
  <si>
    <t>Fuenlabrada, España</t>
  </si>
  <si>
    <t>Agencia de Documentación Informativa sobre el Brexit. 🇪🇺🇬🇧 Cuenta académica de la @urjc</t>
  </si>
  <si>
    <t>Madrid, Spain</t>
  </si>
  <si>
    <t>http://ow.ly/J8Mq30mlUtK</t>
  </si>
  <si>
    <t>#Resolución En esta imagen aparece el exPresidente del Gobierno, Mariano Rajoy, que fue apartado de sus funciones gracias a una moción de censura presentada por Pedro Sánchez (PSOE). Además de ser presidente del gobierno, ha ocupado distintos cargos como Ministro de Interior</t>
  </si>
  <si>
    <t>https://pbs.twimg.com/media/Dsr5YIPWsAEmJV7.jpg</t>
  </si>
  <si>
    <t>Agenda Abierta</t>
  </si>
  <si>
    <t>CUBA 🇨🇺| VISITA OFICIAL DE PEDRO SÁNCHEZ A CUBA RINDE FRUTOS... ROMPE HITO DE 32 AÑOS SIN ENCUENTROS BILATERALES DE ALTO NIVEL ¿NUEVO TRIUNFO DE CUBA FRENTE AL BLOQUEO?</t>
  </si>
  <si>
    <t>ÜT: 10.494456,-66.826093</t>
  </si>
  <si>
    <t>Revista informativa que se transmite de Lunes a Viernes por Telesur</t>
  </si>
  <si>
    <t>http://www.telesurtv.net</t>
  </si>
  <si>
    <t>DoraLaExploradora3.0</t>
  </si>
  <si>
    <t>El término #SanchismoEs se identifica con los intereses terrenales y materialistas, que buscan la satisfacción física inmediata...y de eso Pedro Sánchez sabe un rato.</t>
  </si>
  <si>
    <t>https://pbs.twimg.com/media/Dsr5QpeXgAAUg8V.jpg</t>
  </si>
  <si>
    <t>Política Gobierno Instituciones</t>
  </si>
  <si>
    <t>El principal objetivo del viaje de Pedro Sánchez a Cuba es profundizar las relaciones “en un momento en que la política exterior hacia Latinoamérica es una gran prioridad para el presidente”</t>
  </si>
  <si>
    <t>http://bit.ly/2R4yH6X</t>
  </si>
  <si>
    <t>https://pbs.twimg.com/media/Dsr5KH6WkAAHC45.jpg</t>
  </si>
  <si>
    <t>👉🏻 ¿Qué es el #Sanchismo? 📚 #SanchismoEs una corriente política cuya única finalidad es llegar al poder a cualquier precio. 👤 Su fundador, Pedro Sánchez, optó por ‘podemizarse’ y legitimar a aquellos que quieren romper nuestro país.</t>
  </si>
  <si>
    <t>https://pbs.twimg.com/media/Dsr5EayWoAAjXTw.jpg</t>
  </si>
  <si>
    <t>El doctor Pedro Sánchez se enfada con la comparación. El es único, su ego es incomparable con nadie, se mira al espejo y ve la perfección Lo contrario que vemos los españoles #SanchismoES</t>
  </si>
  <si>
    <t>https://pbs.twimg.com/media/Dsr5EI2XQAAYZmX.jpg</t>
  </si>
  <si>
    <t>Pedro Sánchez, ese gran desconocido de Carmen Calvo #SanchismoES</t>
  </si>
  <si>
    <t>https://pbs.twimg.com/media/Dsr5EFYWoAAlSY2.jpg</t>
  </si>
  <si>
    <t>Pedro Sánchez Mayo 2015: “En Alemania por plagiar tesis dimiten”. #SanchismoEs no pensar que algún día serás presidente del Gobierno, aunque sea sin ganar en las urnas, y que el boomerang del plagio de tu tesis te estalle en toda la cara. ⤵️</t>
  </si>
  <si>
    <t>https://youtu.be/cQNTYvOF1x4</t>
  </si>
  <si>
    <t>No, no es la peli de Men In Black. Es Pedro Sánchez, paseando por Times Square con sus escoltas. Socialismo del siglo XXI. #SanchismoEs esto, #SanchismoEs POSTUREO👇🏻</t>
  </si>
  <si>
    <t>https://pbs.twimg.com/media/Dsr5DOCXoAAncqV.jpg</t>
  </si>
  <si>
    <t>Pedro Sánchez: un hombre llegado para cambiar jueces, sentencias y mantiene ministras conspiradoras. #SanchismoEs</t>
  </si>
  <si>
    <t>https://pbs.twimg.com/media/Dsr5CyOXgAAfGvi.jpg</t>
  </si>
  <si>
    <t>Bogotá</t>
  </si>
  <si>
    <t>#SanchismoEs esto👇🏻 Pedro Sánchez, el Presidente impuesto, el decente, el que venía a regenerar, y lo único que ha regenerado es su bolsillo familiar y el del su partido a costa de sus DEDAZOS. 🎥🗣 @GuillermoDiazCs ⤵️</t>
  </si>
  <si>
    <t>https://youtu.be/a69YhclUCLA</t>
  </si>
  <si>
    <t>Oscar Castillo</t>
  </si>
  <si>
    <t>Pedro Sánchez, un tipo dispuesto a cargarse la separación de poderes para contentar a sus socios #SanchismoEs</t>
  </si>
  <si>
    <t>https://pbs.twimg.com/media/Dsr5CVpXcAAVYfb.jpg</t>
  </si>
  <si>
    <t>Las luchas entre los grandes perjudican a los pobres -- Unidad, Legalidad, Solidaridad y Libertad</t>
  </si>
  <si>
    <t>El Plural</t>
  </si>
  <si>
    <t>El Gobierno español continúa con su línea de vetar el actual acuerdo, tal y como anunció Pedro Sánchez</t>
  </si>
  <si>
    <t>https://www.elplural.com/politica/exteriores-aclara-que-el-anuncio-hecho-por-gibraltar-no-se-refiere-a-un-acuerdo-sobre-el-brexit_206883102</t>
  </si>
  <si>
    <t>La actualidad #política que estabas buscando. ¡Bienvenido a #ElPlural! También estamos en Facebook: https://es-es.facebook.com/elpluralcom/</t>
  </si>
  <si>
    <t>http://www.elplural.com</t>
  </si>
  <si>
    <t>Maria Guerrero</t>
  </si>
  <si>
    <t>Éste Pedro Sanchez está metiendo a España en la boca del lobo. Cuidado RT @24h_tve: España y Cuba pactan un contacto anual en el que hablarán de derechos humanos</t>
  </si>
  <si>
    <t>https://twitter.com/24h_tve/status/1065870063398338561
http://rtve.es/n/1842360</t>
  </si>
  <si>
    <t>La mejor persona del mundo</t>
  </si>
  <si>
    <t>Dorleta nadal garcia</t>
  </si>
  <si>
    <t>AVISO PRESIDENTE DEL GOBIERNO/PEDRO SANCHEZ Y AL NUESTRO LEHENDAKARI IÑIGO URKULLU</t>
  </si>
  <si>
    <t>https://rafador8678.wordpress.com/2018/11/23/aviso-presidente-del-gobierno-pedro-sanchez-y-al-nuestro-lehendakari-inigo-urkullu/</t>
  </si>
  <si>
    <t>rafa nadal parera tenista</t>
  </si>
  <si>
    <t>comercio, marketing,verdadera Dorleta,pareja en todos niveles de @RafaelNadal nos casamos,líder partido dorleto, mi Instagram, Rafadornadalparejaentidosaspec​</t>
  </si>
  <si>
    <t>https://rafador8678.wordpress.com</t>
  </si>
  <si>
    <t>Jorge Costa</t>
  </si>
  <si>
    <t>Pedro Sánchez on Twitter RT @sanchezcastejon: After my conversation with Theresa May, our positions remain far away. My Government will always defend the interests of Spain. If there are no changes, we will veto Brexit.</t>
  </si>
  <si>
    <t>https://twitter.com/sanchezcastejon/status/1065719004923342850?s=12</t>
  </si>
  <si>
    <t>London, United Kingdom</t>
  </si>
  <si>
    <t>antonio jesus ruano</t>
  </si>
  <si>
    <t>publicitario,agricultor</t>
  </si>
  <si>
    <t>DiarioDom Digital</t>
  </si>
  <si>
    <t>http://diariodom.com/noticias/index.php?id=287716</t>
  </si>
  <si>
    <t>https://pbs.twimg.com/media/Dsr3xQZVYAUHbaD.jpg</t>
  </si>
  <si>
    <t>Últimas noticias del acontecer dominicano en la capital, sus provincias, Nueva York, Florida, Puerto Rico y Panamá.</t>
  </si>
  <si>
    <t>http://www.diariodom.com</t>
  </si>
  <si>
    <t>El Mundo Opinión</t>
  </si>
  <si>
    <t>"Pedro Sánchez y Begoña Gómez aterrizaron como reyes del mambo en La Habana dispuestos a hacer historia. Ella, convertida en mujer de rojo para eclipsar, si hacía falta, hasta a su marido". ✍ Eduardo Álvarez</t>
  </si>
  <si>
    <t>http://bit.ly/2zptoZf</t>
  </si>
  <si>
    <t>Cuenta Oficial de la sección de Opinión de EL MUNDO.</t>
  </si>
  <si>
    <t>http://www.elmundo.es/opinion.html</t>
  </si>
  <si>
    <t>LYFtvNews</t>
  </si>
  <si>
    <t>Cuba : visite historique de Pedro Sanchez</t>
  </si>
  <si>
    <t>https://goo.gl/fb/tAj4fX
http://bit.ly/lyfyt</t>
  </si>
  <si>
    <t>Lyon, France</t>
  </si>
  <si>
    <t>Abonnez vous à notre chaîne YouTube : http://bit.ly/notiflyftvnews CM @gilles_roman http://facebook.com/LYFtvNews http://instagram.com/LYFtvPhotos</t>
  </si>
  <si>
    <t>http://www.lyftvnews.com</t>
  </si>
  <si>
    <t>https://pbs.twimg.com/media/Dsr26mBW0AAPegm.jpg</t>
  </si>
  <si>
    <t>Hielo 155  #FreeTabarnia</t>
  </si>
  <si>
    <t>Si Pedro Sánchez presidente no convoca elecciones es para llevarle la contraria a Pedro Sánchez.</t>
  </si>
  <si>
    <t>más allá del movil</t>
  </si>
  <si>
    <t>Digo lo que pienso y no pediré perdón. Aquí hablo de política. si eres un progre o un mermado laZi lárgate 🇪🇸🇪🇸🇪🇸</t>
  </si>
  <si>
    <t>Daniel Lozano</t>
  </si>
  <si>
    <t>Después de su encuentro anoche con Pedro Sánchez, el presidente cubano ha madrugado para acudir a la recepción de médicos cubanos que regresan de Brasil</t>
  </si>
  <si>
    <t>América Latina</t>
  </si>
  <si>
    <t>Reportero, escritor y hacedor de periódicos. Libérrimo: ni dios, ni ama, ni patrón... Escribiendo sobre América en El Mundo y La Nación. Tb Expresso de Lisboa.</t>
  </si>
  <si>
    <t>http://www.es-emoticon.com/universomestizo/</t>
  </si>
  <si>
    <t>fina vidal</t>
  </si>
  <si>
    <t>Pedro Sánchez, el paso atrás de la izquierda. Artículo de @LuisAneiros  vía @nuevarevoluci0n</t>
  </si>
  <si>
    <t>https://nuevarevolucion.es/pedro-sanchez-el-paso-atras-de-la-izquierda/</t>
  </si>
  <si>
    <t>Casi viviente</t>
  </si>
  <si>
    <t>https://okdiario.com/espana/2018/11/23/pedro-sanchez-reune-cupula-del-regimen-cubano-palacio-revolucion-3382388/amp</t>
  </si>
  <si>
    <t>Pedro Sánchez , lo único q ha hecho es reirme la gracia a Rufian . Valgame Dios! .las</t>
  </si>
  <si>
    <t>JHidalgodeCalcerrada</t>
  </si>
  <si>
    <t>Pedro Sánchez, mantiene que vetará el tratado del Brexit si no se deja claro que cualquier relación futura de Gibraltar con la UE deberá ser negociada bilateralmente entre España y Reino Unido. Y no podría ser pactada directamente entre la UE y Londres.</t>
  </si>
  <si>
    <t>https://www.lasexta.com/noticias/internacional/exteriores-aclara-que-hay-acuerdo-reino-unido-brexit-anuncio-ministro-gibraltar_201811235bf7d08c0cf25d64f626be3e.html</t>
  </si>
  <si>
    <t>Tenerife Islas Canarias</t>
  </si>
  <si>
    <t>La libertad individual, solamente limitada por la ley, es el bien supremo. Ingeniero jubilado. Mis aficiones: la música, la economía, mi perro.. Insulto=bloqueo</t>
  </si>
  <si>
    <t>Antonio Gros</t>
  </si>
  <si>
    <t>Interesante</t>
  </si>
  <si>
    <t>https://www.elconfidencial.com/espana/cataluna/2018-11-21/erc-pide-pedro-sanchez-evite-elecciones_1658806/</t>
  </si>
  <si>
    <t>Ex-secretario de Innovación y NNTT del PSOE de Ceuta. Ahora como militante seguiré en la lucha. Ceuta y España lo necesitan</t>
  </si>
  <si>
    <t>http://www.ugr.es/local/agros</t>
  </si>
  <si>
    <t>Radio SONORA 96.9 FM</t>
  </si>
  <si>
    <t>El jefe del Gobierno español Pedro Sánchez, y el presidente de Cuba Miguel Díaz Canel, presidieron la firma de un memorándum por el que ambos países acuerdan contactos políticos permanentes con reuniones anuales.</t>
  </si>
  <si>
    <t>https://pbs.twimg.com/media/Dsr1hOgXcAA6wJA.jpg</t>
  </si>
  <si>
    <t xml:space="preserve">Guatemala </t>
  </si>
  <si>
    <t>Cuenta Oficial de Radio Cadena SONORA. Acá publicamos sólo avances noticiosos que son ampliados a través de nuestras 30 frecuencias en toda Guatemala.</t>
  </si>
  <si>
    <t>http://www.sonora.com.gt</t>
  </si>
  <si>
    <t>Díaz-Canel califica como cordial su encuentro con Pedro Sánchez... RT @DiazCanelB: Recibimos en el Palacio de la Revolución al Presidente de España, Pedro Sánchez. Hemos tenido un primer y cordial encuentro con él en su visita a nuestro país, que apreciamos sinceramente. Se fortalecen las relaciones entre #Cuba y #España. #SomosCuba</t>
  </si>
  <si>
    <t>Madrid 24 horas</t>
  </si>
  <si>
    <t>Sánchez visita Cuba para restaurar relaciones  La visita de Pedro Sánchez a Cuba, la primera de carácter oficial de un presidente del Gobierno español a la isla en 32 años, ha propiciado la firma de un acuerdo por el que los [Leer más] La entrada Sánche…</t>
  </si>
  <si>
    <t>https://ift.tt/2S5YyeQ</t>
  </si>
  <si>
    <t>Notícias de Madrid, el glorioso Atlético de Madrid y el Real Madrid</t>
  </si>
  <si>
    <t>http://www.madriddigital24horas.com</t>
  </si>
  <si>
    <t>JLP</t>
  </si>
  <si>
    <t>Se quedarán, como siempre en nada. Si fuéramos independentistas seguro que las cumpliría. Las promesas para Madrid que Pedro Sánchez ha hecho a Garrido  vía @ABC_Madrid</t>
  </si>
  <si>
    <t>https://www.abc.es/espana/madrid/abci-promesas-para-madrid-pedro-sanchez-hecho-garrido-201811230157_noticia.html#ns_campaign=rrss-inducido&amp;ns_mchannel=abc-es&amp;ns_source=tw&amp;ns_linkname=noticia-foto&amp;ns_fee=0</t>
  </si>
  <si>
    <t>Madrid  España</t>
  </si>
  <si>
    <t>GUADARRAMA. No soporto a podemistas, ni separatistas. Bloq. a la de ya. La verdad te hará libre. Real Madrid en el corazón. 💓 Tabarnia y voto #PP</t>
  </si>
  <si>
    <t>Arena</t>
  </si>
  <si>
    <t>La prensa castrista ya trata de "excelentísimo" al 'amigo' Pedro Sánchez. Finalmente España va tomando el mismo camino de Cuba, hacia un comunismo totalitario. Es lógico que los lazos que se estrechen sean más que de amigos, de socios.  vía @ESdiario_com</t>
  </si>
  <si>
    <t>https://www.esdiario.com/238194049/La-prensa-castrista-ya-trata-a-Pedro-Sanchez-de-aexcelentisimoa.html</t>
  </si>
  <si>
    <t>🇪🇸🇪🇺 "Mi profesión es ser libre" J.Sand. Cuando la hipocresía comienza a ser de muy mala calidad, es hora de comenzar a decir la verdad." (B. Brecht)</t>
  </si>
  <si>
    <t>Pedro Segura</t>
  </si>
  <si>
    <t>Pedro Sánchez en Cuba, un viaje sin precendentes en tres décadas</t>
  </si>
  <si>
    <t>Somos cuanto recordamos, poco más. Sólo mata el olvido.</t>
  </si>
  <si>
    <t>A pesar de la “larga conversación” que sostuvo Pedro Sánchez con Theresa May, la primera ministra británica acordó con la UE un borrador de la declaración política futura que excluye las exigencias de España sobre Gibraltar</t>
  </si>
  <si>
    <t>https://pbs.twimg.com/media/Dsr0aVHXQAALyo6.jpg</t>
  </si>
  <si>
    <t>Monika Diethelm</t>
  </si>
  <si>
    <t>Pablo Iglesias assegura que no donarà suport a Pedro Sánchez...  via @elnacionalcat</t>
  </si>
  <si>
    <t>https://www.elnacional.cat/ca/en-directe/actualitat-23112018_3636_126.html?idComment=984501</t>
  </si>
  <si>
    <t>El PNV arranca a Sánchez competencias para Euskadi Todo por aferrarse al sillón</t>
  </si>
  <si>
    <t>https://www.elperiodico.com/es/politica/20181122/pnv-arranca-pedro-sanchez-competencias-para-euskadi-7162799?utm_source=twitter&amp;utm_medium=social</t>
  </si>
  <si>
    <t>Ni Pío Baroja 🕳</t>
  </si>
  <si>
    <t>Pedro Sánchez ha ido a Cuba para impulsar la cooperación comercial y establecerá futuras reuniones entre España y Cuba para hablar de derechos humanos. 🤔 Yo ya no sé si esto es una prueba de hasta dónde aguanta un país.</t>
  </si>
  <si>
    <t>Cortaccia sulla Strada del Vin</t>
  </si>
  <si>
    <t>Dejemos las conclusiones para los idiotas. Un día me morí... ahora he resucitado. Perito en sofás y muy fan de las distopías.</t>
  </si>
  <si>
    <t>Pedro Sánchez llega a La Habana para su encuentro con Díaz-Canel  vía @DLasAmericas</t>
  </si>
  <si>
    <t>Luis Expósito</t>
  </si>
  <si>
    <t>Monago ha dicho hoy que "van a cerrar la Central Nuclear de Almaraz". Un lince, el tío. Pedro Sánchez lleva años diciéndolo.</t>
  </si>
  <si>
    <t>Periodista de HOY Diario de Extremadura. También me aguantan en Canal Extremadura Radio y Televisión.</t>
  </si>
  <si>
    <t>degeamen</t>
  </si>
  <si>
    <t>Me ha gustado un vídeo de @YouTube ( - El Golpe de ✊KO💥 de Rivera a Pedro Sanchez.-).</t>
  </si>
  <si>
    <t>http://youtu.be/o7l1zuzXoco?a</t>
  </si>
  <si>
    <t>Soy un gamer k sube videos a youtube, Napoleon, Minecraft, BF3 y bla bla bla</t>
  </si>
  <si>
    <t>http://www.youtube.com/channel/UCc8uhVRPtJLALl1VGB-f-qQ/videos?flow=grid&amp;view=0</t>
  </si>
  <si>
    <t>@julianignacio31</t>
  </si>
  <si>
    <t>la preciosa ines arrimadas ser ceba con pedro sanchez esta cara bonita no ser acuerda cuando su jefe .rivera pacto con el ahora odiiado sanchez y que quiso pactar con los que segun ellos quieren romper españa podemos .preciosa a ti te vale todo eres una bonita veleta arco iris si</t>
  </si>
  <si>
    <t>ConsuladoCubaMadrid</t>
  </si>
  <si>
    <t>Pedro Sánchez en La Habana, historia y cooperación</t>
  </si>
  <si>
    <t>http://www.juventudrebelde.cu/cuba/2018-11-22/pedro-sanchez-en-la-habana-historia-y-cooperacion</t>
  </si>
  <si>
    <t>CP 28036, Madrid</t>
  </si>
  <si>
    <t>juan fco cabrera romero</t>
  </si>
  <si>
    <t>https://www.periodistadigital.com/periodismo/prensa/2018/11/23/escupitajo-elpais-oposicion-cubana-elogiando-pedro-sanchez-no-reuna-diaz-canel-brexit-gibraltar-borrell.shtml</t>
  </si>
  <si>
    <t>Ayamonte, España</t>
  </si>
  <si>
    <t>Orgulloso de haber nacido en la Puerta de España.</t>
  </si>
  <si>
    <t>EL PAÍS España</t>
  </si>
  <si>
    <t>La moción de censura que llevó a Pedro Sánchez a La Moncloa en junio y la reacción de PP y Ciudadanos a las alianzas para que saliera adelante han disparado la crispación política, sobre todo en las Cortes  Por @javiercasqueiro y @anabeldn</t>
  </si>
  <si>
    <t>http://ow.ly/zhq930mIWC7</t>
  </si>
  <si>
    <t>Únete a la conversación sobre los grandes temas políticos y ciudadanos. Por la Redacción de España de EL PAÍS</t>
  </si>
  <si>
    <t>http://politica.elpais.com/</t>
  </si>
  <si>
    <t>Miguel Díaz-Canel Bermúdez</t>
  </si>
  <si>
    <t>Recibimos en el Palacio de la Revolución al Presidente de España, Pedro Sánchez. Hemos tenido un primer y cordial encuentro con él en su visita a nuestro país, que apreciamos sinceramente. Se fortalecen las relaciones entre #Cuba y #España. #SomosCuba</t>
  </si>
  <si>
    <t>Presidente de los Consejos de Estado y de Ministros de la República de Cuba. Comprometido con las ideas martianas de Fidel y Raúl.</t>
  </si>
  <si>
    <t>Comenta con José</t>
  </si>
  <si>
    <t>Andalucía, España 🇪🇸</t>
  </si>
  <si>
    <t>Informático, Blogger, Comentarista, CommunityManager, Consejero, Amigo https://www.instagram.com/comentaconjose https://facebook.com/comentaconjose</t>
  </si>
  <si>
    <t>https://comentaconjose.blogspot.com.es/</t>
  </si>
  <si>
    <t>Juan Carlos Castro</t>
  </si>
  <si>
    <t>La zigzagueante relación de Pedro Sánchez con la españolidad.</t>
  </si>
  <si>
    <t>Distinguir las voces de los ecos</t>
  </si>
  <si>
    <t>Pueblo de Xoco</t>
  </si>
  <si>
    <t>Pedro Sánchez: Volver a Cuba | Opinión | EL PAÍS</t>
  </si>
  <si>
    <t>Little Guanajuato, CdMx</t>
  </si>
  <si>
    <t>Portal oficial y autónomo del Pueblo Originario de Xoco (Delg, Benito Juárez). En Pro de la defensa de nuestros patrimonios materiales e intangibles.</t>
  </si>
  <si>
    <t>Caballero M</t>
  </si>
  <si>
    <t>Si Pedro Sánchez recupera Gibraltar, será oficialmente nuestro tonto útil.</t>
  </si>
  <si>
    <t>¡Estudiar, estudiar y estudiar!</t>
  </si>
  <si>
    <t>Arturo Arenas</t>
  </si>
  <si>
    <t>Media Inglaterra riéndose de Pedro Sánchez. Este es el logro de hoy.</t>
  </si>
  <si>
    <t>Molvízar (Granada)</t>
  </si>
  <si>
    <t>PP de Aragón</t>
  </si>
  <si>
    <t>📹▶️ @LuismaBeamonte, presidente del @pparagon, alerta sobre la amenaza ⚠ que supone @sanchezcastejon para los intereses de Aragón 💬 "Quizás el @aragonpsoe pueda soportar a Pedro Sánchez, pero los aragoneses no” ❌👉🏻</t>
  </si>
  <si>
    <t>http://bit.ly/2FA2raF</t>
  </si>
  <si>
    <t>pic.twitter.com/VJRPthcTGP</t>
  </si>
  <si>
    <t>Aragón, España</t>
  </si>
  <si>
    <t>Aragoneses del @PPopular, orgullosos de todos estos años de #democracia. En 2018 conmemoramos #40añosdeConstitución 🇪🇸</t>
  </si>
  <si>
    <t>http://www.pparagon.es</t>
  </si>
  <si>
    <t>Mary Romero</t>
  </si>
  <si>
    <t>#Cuba y #España apuestan por la cooperación bilateral. Presidente Pedro Sánchez intercambiará con directivos de empresas y visitará hoy centro histórico de la Habana Vieja #relaciones...</t>
  </si>
  <si>
    <t>http://www.radiorebelde.cu/noticia/cuba-espana-apuestan-por-cooperacion-bilateral-20181123/</t>
  </si>
  <si>
    <t>hija de Fomento, Cuba, pueblo liberado por el Che Guevara, tierra de historia, café, ganadería, montañas y ríos de amor como Agabama. Deliro por los versos.</t>
  </si>
  <si>
    <t>http://fomentoenvivo.wordpress.com</t>
  </si>
  <si>
    <t>Manuel Budiño</t>
  </si>
  <si>
    <t>VIDEO: Sánchez se reúne con Díaz Canel en primera visita de un presidente español a Cuba en 32 años  @ActualidadRT "es el reconocimiento del fracaso, por parte de España, de su hostil política" contra Cuba, dijo el miércoles al diario Granma...</t>
  </si>
  <si>
    <t>SantiagoMartinM</t>
  </si>
  <si>
    <t>laSexta Noticias</t>
  </si>
  <si>
    <t>.@Pablo_Iglesias_ no apoyará a Pedro @sanchezcastejon para "patrioterismos extraños" con Gibraltar</t>
  </si>
  <si>
    <t>http://atres.red/rz35j6</t>
  </si>
  <si>
    <t>El twitter de laSexta | Noticias. Te contamos todo lo que ocurre en el momento que ocurre.</t>
  </si>
  <si>
    <t>http://www.lasexta.com/noticias/</t>
  </si>
  <si>
    <t>tonia etxarri</t>
  </si>
  <si>
    <t>El IBEX señala el fin del Gobierno de Pedro Sánchez via @EconomiaED_</t>
  </si>
  <si>
    <t>https://pbs.twimg.com/media/DsrvxBOWwAYHiHl.jpg</t>
  </si>
  <si>
    <t>mar y montaña</t>
  </si>
  <si>
    <t>Qué miedo saber tanto...Analista de El Correo y colaborando en radios y TV. Solo buenos modales. Abstenerse insultadores.</t>
  </si>
  <si>
    <t>Diego Cabanillas</t>
  </si>
  <si>
    <t>¿Cuánto le cuesta a Pedro Sánchez llamar de Cuba a Londres? Perdón ¿cuánto nos está costando?</t>
  </si>
  <si>
    <t>Licenciado en Periodismo, aunque polemista entre horas.</t>
  </si>
  <si>
    <t>Cubanos por el Mundo</t>
  </si>
  <si>
    <t>Pedro Sánchez y Diaz-Canel se reunieron y firman memorandos  #actualidad #destacada</t>
  </si>
  <si>
    <t>https://goo.gl/fb/Yt7ofw</t>
  </si>
  <si>
    <t>#cubanosporelmundo</t>
  </si>
  <si>
    <t>https://cubanosporelmundo.com/</t>
  </si>
  <si>
    <t>Antonia Sanz</t>
  </si>
  <si>
    <t>Socialista, alborozada en lo nacional y vigilante en lo local, pero nunca derrotada.</t>
  </si>
  <si>
    <t>Jorge SANCHEZ</t>
  </si>
  <si>
    <t>https://www.youtube.com/attribution_link?a=JDUu4gTdGqk&amp;u=%2Fwatch%3Fv%3DqfvBz2Mwv20%26feature%3Dshare</t>
  </si>
  <si>
    <t>Comodoro Rivadavia, Argentina</t>
  </si>
  <si>
    <t>Desarrollo de negocios y proyectos en Patagonia, con mucho gusto espero su contacto en http://linkedin.com/in/jorge-sanch…</t>
  </si>
  <si>
    <t>https://www.youtube.com/channel/UCi_mC-XOCIJ1vTnv3nvqHyg</t>
  </si>
  <si>
    <t>EmbaCuba_Venezuela</t>
  </si>
  <si>
    <t>El Presidente de los Consejos de Estado y de Ministros, Miguel Díaz-Canel Bermúdez, recibió al presidente del Gobierno del Reino de España, excelentísimo señor Pedro Sánchez Pérez-Castejón</t>
  </si>
  <si>
    <t>http://www.granma.cu/cuba/2018-11-22/recibio-diaz-canel-al-presidente-del-gobierno-de-espana-22-11-2018-21-11-29</t>
  </si>
  <si>
    <t>Sitio oficial de la Embajada de Cuba en la República Bolivariana de Venezuela. Seguidores de #FidelCastro</t>
  </si>
  <si>
    <t>http://www.embajadacuba.com.ve/</t>
  </si>
  <si>
    <t>Pedro Sánchez en Cuba, un viaje sin precendentes en tres décadas  vía @YouTube</t>
  </si>
  <si>
    <t>https://youtu.be/qfvBz2Mwv20</t>
  </si>
  <si>
    <t>HispaniaFortius</t>
  </si>
  <si>
    <t>Pedro Sánchez premia a Torrescámara, constructora investigada en el 'caso Acuamed', y la lleva en su avión a Cuba "Es de bien nacidos ser agradecidos"  #SanchezCumFraude @sanchezcastejon #FelizFinde</t>
  </si>
  <si>
    <t>https://okdiario.com/economia/empresas/2018/11/23/sanchez-premia-constructora-investigada-caso-acuamed-lleva-avion-cuba-3380485#.W_fhAytaK4k.twitter</t>
  </si>
  <si>
    <t>OnCuba</t>
  </si>
  <si>
    <t>Pucela</t>
  </si>
  <si>
    <t>Orgulloso de ser ESPAÑOL y Castellano.Liberal https://hispaniafortius.wordpress.com https://gab.ai/HispaniaFortius</t>
  </si>
  <si>
    <t>https://twitter.com/HispaniaFortius</t>
  </si>
  <si>
    <t>EE.UU./Cuba</t>
  </si>
  <si>
    <t>Plataforma de comunicación estadounidense con corresponsalía en Cuba. Su objetivo es ser puente de comunicación entre la Isla y EE. UU.</t>
  </si>
  <si>
    <t>http://www.oncubamagazine.com</t>
  </si>
  <si>
    <t>ideal_almeria</t>
  </si>
  <si>
    <t>#Opinión Memorable frase la que nos animaba a preguntarnos no qué podía hacer nuestro país por nosotros sino nosotros por nuestro país</t>
  </si>
  <si>
    <t>https://www.ideal.es/almeria/almeria/pedro-sanchez-espana-20181123230847-nt.html</t>
  </si>
  <si>
    <t>Almería</t>
  </si>
  <si>
    <t>Diario local con toda la información de Almería y su provincia.</t>
  </si>
  <si>
    <t>http://www.ideal.es/almeria</t>
  </si>
  <si>
    <t>Esteban Gámez</t>
  </si>
  <si>
    <t>https://pbs.twimg.com/media/DsrukrEXQAEgd18.jpg</t>
  </si>
  <si>
    <t>Gijón</t>
  </si>
  <si>
    <t>Profesional del medio, apasionado de las nuevas tecnologías y de la tierra Asturiana</t>
  </si>
  <si>
    <t>manuellopezmariño</t>
  </si>
  <si>
    <t>La indignidad de Pedro Sánchez con Borrell</t>
  </si>
  <si>
    <t>https://okdiario.com/opinion/2018/11/22/indignidad-pedro-sanchez-borrell-3380779#.W_fg2fcn_Ws.twitter</t>
  </si>
  <si>
    <t>Monte xalo</t>
  </si>
  <si>
    <t>Mi pasion el DEPOR, mi afición la fotografia, colaborador de 21 NOTICIAS. Mis BLOG XALOMONTE FOTOGRAFIA BLOG y RIAZORDEPORTIVO BLOG</t>
  </si>
  <si>
    <t>http://riazordeportivo.blogspot.com.es</t>
  </si>
  <si>
    <t>Adolfo Lorente 🇪🇺</t>
  </si>
  <si>
    <t>"Pedro Sánchez gobierna con astucia, cinismo y amnesia. Se permite desmentirse a sí mismo como si tuviera la memoria olvidadiza de los peces, pero es un escualo político provisto de la acción mutante: se transforma con el hábitat, se mimetiza en los golpes de escena" RT @Ruben_Amon: Columna | Sánchez se reinventa; por Rubén Amón  vía @el_pais</t>
  </si>
  <si>
    <t>https://twitter.com/Ruben_Amon/status/1065907228035743745
https://elpais.com/elpais/2018/11/22/opinion/1542872284_010549.html?id_externo_rsoc=TW_CC</t>
  </si>
  <si>
    <t>Papá. Fan de mi Ire. De Calahorra. Periodista de EL CORREO. Corresponsal en Bruselas entre 2013 y 2018. Ahora en Bilbao, en el sanedrín. Draghista. Junckerista</t>
  </si>
  <si>
    <t>http://www.elcorreo.com</t>
  </si>
  <si>
    <t>Jose Luis</t>
  </si>
  <si>
    <t>El viejo colaborador de Pedro Sánchez y alcalde de Alcalá de Henares se sentará en el banquillo tras un sopapo judicial que le obliga a dimitir según los estatutos del PSOE.</t>
  </si>
  <si>
    <t>Si no te gusta lo que digo no me sigas ; estoy en contra del comunismo y el comunismo radical populista (ojo no soy de ningún partido)</t>
  </si>
  <si>
    <t>OccuWorld ❌</t>
  </si>
  <si>
    <t>El Gobierno de Pedro Sánchez vuelve a dar la espalda al pueblo saharaui.</t>
  </si>
  <si>
    <t>http://www.occuworld.org/news/4442695</t>
  </si>
  <si>
    <t>Earth</t>
  </si>
  <si>
    <t>Truth Locating Engine. Non-funded, volunteer, automated. In solidarity with humanity.</t>
  </si>
  <si>
    <t>http://www.occuworld.org</t>
  </si>
  <si>
    <t>COPE Jaén</t>
  </si>
  <si>
    <t>Foro Salud COPE con los doctores Antonio Gómez Ortega y Pedro Sánchez Rovira que nos acercaron los últimos avances en diagnóstico prematuro y tratamiento de cáncer de mama y cáncer de colon en un interesante debate. Imágenes: Magda Eli Anguita</t>
  </si>
  <si>
    <t>https://www.cope.es/emisoras/andalucia/jaen-provincia/jaen/audios/ponencia-sobre-deteccion-precoz-cancer-mama-colon-20181123_582891</t>
  </si>
  <si>
    <t>https://pbs.twimg.com/media/DsrtwssXoAAOy8K.jpg</t>
  </si>
  <si>
    <t>Jaén</t>
  </si>
  <si>
    <t>Twitter oficial de COPE Jaén. Puedes seguirnos en 94.2 FM y 1.143 OM y en http://www.cope.es/directos/jaen</t>
  </si>
  <si>
    <t>http://cope.es/jaen</t>
  </si>
  <si>
    <t>Juan Antonio Fernández Palacios</t>
  </si>
  <si>
    <t>El Presidente del Gobierno #España, Pedro Sánchez @sanchezcastejon es recibido en el Palacio de la Revolución por el Presidente de #Cuba, Miguel Díaz-Canel @DiazCanelB.</t>
  </si>
  <si>
    <t>https://pbs.twimg.com/media/Dsrtq22XoAAfrK7.jpg</t>
  </si>
  <si>
    <t>Viena, Austria</t>
  </si>
  <si>
    <t>Embajador de #Cuba en Austria, Croacia y Eslovenia. Representante Permanente ante las NN.UU en Viena -Haga cada uno su parte de deber, y nada podrá vencernos-</t>
  </si>
  <si>
    <t>Protestona</t>
  </si>
  <si>
    <t>Lo de hablar de Gibraltar en noviembre me tiene despistada. Me da a mí que Pedro Sánchez no llega al verano.</t>
  </si>
  <si>
    <t>A Coruña, España</t>
  </si>
  <si>
    <t>Republicana, feminista, atea y roja. Partisana. De Podemos. http://Instagram.com/Protestona1 TLG https://t.me/protestona1 https://www.facebook.com/Protestona2/</t>
  </si>
  <si>
    <t>http://alcantarillasocial.com/author/protestona1</t>
  </si>
  <si>
    <t>https://pbs.twimg.com/media/DsrtfZGX4AAgmvs.jpg</t>
  </si>
  <si>
    <t>Sumarium</t>
  </si>
  <si>
    <t>Pedro Sánchez llega a La Habana para su primera visita oficial a Cuba</t>
  </si>
  <si>
    <t>https://goo.gl/3crfr4</t>
  </si>
  <si>
    <t>https://pbs.twimg.com/media/DspIQGkV4AI9Ynq.jpg</t>
  </si>
  <si>
    <t>Venezuela / España (+34 657821628)</t>
  </si>
  <si>
    <t>http://www.sumarium.es</t>
  </si>
  <si>
    <t>Adrian López-Linares</t>
  </si>
  <si>
    <t>LO DICHO... QUE DIFERENCIA HAY ENTE DICTADURAS DE IZDA O DE DERECHA????? MEGALOMANIA Y COMUNISMO REVANCHISTA ES LO QUE TENEMOS DESPUÉS DE 43 AÑOS DE CONVIVENCIA!!!!!🕵️‍♀️</t>
  </si>
  <si>
    <t>#ColeccionNovelasJuveniles</t>
  </si>
  <si>
    <t>Escritor de novelas juveniles, experto en Coaching y apasionado de la Historia. Asturiano y Español por derecho propio. #LasAventurasDelMarinoFabila</t>
  </si>
  <si>
    <t>https://www.proyectohumanitariokudidito.com</t>
  </si>
  <si>
    <t>Juan Antonio Tirado</t>
  </si>
  <si>
    <t>http://dlvr.it/QrwVt7</t>
  </si>
  <si>
    <t>https://pbs.twimg.com/media/DsrtGbfU8AAOw76.jpg</t>
  </si>
  <si>
    <t>Periodista. Onda Cero. Editor de iBooks, director de @Stonewall_iBook; Radio Inter, Onda Madrid, Radio Voz, City Fm; Prensa4, El Telegrafo y Fotos; PopularTV...</t>
  </si>
  <si>
    <t>https://itunes.apple.com/es/book/gettysburg-1863/id665369445?mt=11</t>
  </si>
  <si>
    <t>Ismael Bardisa</t>
  </si>
  <si>
    <t>Carta abierta de un cubano a Pedro Sánchez “el régimen comunista que Vd.visita,persigue,encarcela y asesina a sus opositores políticos” vía @elespanolcom</t>
  </si>
  <si>
    <t>Abogado.Liberal.Ex diputado nacional PP por Madrid (1996-2008)España 🇪🇸. Presidente Foro de Justicia de PP Madrid.</t>
  </si>
  <si>
    <t>Manuel</t>
  </si>
  <si>
    <t>Las cartas en Europa hay que jugarlas bien", afirmó este jueves el secretario de Estado para la UE, Luis Marco Aguiriano, a propósito del acuerdo sobre el Brexity del pretendido golpe en la mesa dado por Pedro Sánchez</t>
  </si>
  <si>
    <t>https://www.esdiario.com/74852870/Sanchez-paga-la-novatada-con-May-y-Gibraltar-y-ahora-no-sabe-como-arreglarlo.html</t>
  </si>
  <si>
    <t>Mi tiempo libre lo dedico a todo tipo de lectura.</t>
  </si>
  <si>
    <t>http://page.is/manuel</t>
  </si>
  <si>
    <t>Juan García</t>
  </si>
  <si>
    <t>El IBEX señala el fin del Gobierno de Pedro Sánchez  vía @EconomiaED_ @XAlegret @carleshuguet</t>
  </si>
  <si>
    <t>Periodista. CEO de Economía Digital, Cerodosbé y Diario Gol En FB: http://facebook.com/juan.garcia.ed. Periodismo, política, arte...</t>
  </si>
  <si>
    <t>http://www.economiadigital.es</t>
  </si>
  <si>
    <t>Àvia Maria 👊</t>
  </si>
  <si>
    <t>Última Hora Gibraltar: Se filtran unas llamadas telefónicas donde se escucharía a Theresa May pedir ayuda urgente a Corea del Norte y a Rusia por las amenazas de Pedro Sánchez.</t>
  </si>
  <si>
    <t>Sediciosa i Rebel. Amiga de la Conxita.</t>
  </si>
  <si>
    <t>Josep Lluis Berlanga 🎗 2.078.008</t>
  </si>
  <si>
    <t>Pedro Sánchez es republicano pero se siente cómodo con los Borbones Casado quiere ilegalizar partidos Rivera solo ve españoles...y piedras y adoctrinamiento Borrell se inventa escupitajos ..les está quedando una preciosa dictadura oigan,me están dando ganas de quedarme</t>
  </si>
  <si>
    <t>Figueres, República Catalana</t>
  </si>
  <si>
    <t>barcelonés de neixament,canetenc de cor,ampurdanés d'adopció,lampista de profesió,pare de sentiment,apasionat per impuls,culer de cuna,indepe per convicció</t>
  </si>
  <si>
    <t>Granada</t>
  </si>
  <si>
    <t>LOS ACUERDOS SON SOBRE CUATRO MEMORANDOS Exteriores aclara q no hay acuerdo con Reino Unido sobre el Brexit tras el anuncio del ministro d GibraltarEste gobierno ilegal d pedro sanchez volviendo tomar el pelo y de tontos a los españoles este subnormal d picardo se va d la lengua</t>
  </si>
  <si>
    <t>MiLABAS #TitoEtern</t>
  </si>
  <si>
    <t>Thanks @omctorg Organización mundial contra la tortura. Carta abierta a Pedro Sánchez @sanchezcastejon y fiscalía; "Poner fin a la prisión preventiva y liberar de manera immediata y incondicional a los señores Jordi Cuixart y Jordi Sànchez" #BlackWeekARV #LlibertatPresosPolítics RT @omctorg: #Spain: Open Letter to @sanchezcastejon and @fiscal_es: End the arbitrary pre-trial detention of social leader Mr. Jordi Cuixart (@jcuixart).</t>
  </si>
  <si>
    <t>https://twitter.com/omctorg/status/1065737716892090368
http://www.omct.org/monitoring-protection-mechanisms/urgent-interventions/spain/2018/11/d25127/</t>
  </si>
  <si>
    <t>https://pbs.twimg.com/media/DspBQO7WwAIwxKA.jpg</t>
  </si>
  <si>
    <t>SALT - CATALUNYA</t>
  </si>
  <si>
    <t>A L´ATUR, AJUDANT ALS PARES, LA MARE i EL PARE DELICATS DE SALUT. DEP tiu Jaume, no t´oblidarem mai. Recordant Tito #TitoEtern Visc a #Salt🎗️</t>
  </si>
  <si>
    <t>Alfacebook 🇪🇸</t>
  </si>
  <si>
    <t>https://okdiario.com/economia/empresas/2018/11/23/sanchez-premia-constructora-investigada-caso-acuamed-lleva-avion-cuba-3380485</t>
  </si>
  <si>
    <t>Zaragoza 🇪🇸🇪🇸</t>
  </si>
  <si>
    <t>La política de izquierdas de este pais huele a rancio. 🇪🇸🇪🇸</t>
  </si>
  <si>
    <t>Energía Diario</t>
  </si>
  <si>
    <t>Ribera defiende la importancia del sector del automóvil mientras Pedro Sánchez recalca que otros países prohibirán los coches contaminantes antes @Lucio_Pilar @PSOEsostenible @moran_fernandez @abrilalvaro @adrilastra @anfacautomovil @vendrellj @juralde -</t>
  </si>
  <si>
    <t>http://www.energiadiario.com/publicacion/ribera-defiende-la-importancia-del-sector-del-automovil-mientras-pedro-sanchez-recalca-que-otros-paises-prohibiran-los-coches-contaminantes-antes/</t>
  </si>
  <si>
    <t>http://www.energiadiario.com</t>
  </si>
  <si>
    <t>Cuando Pedro Sánchez le reprochaba a Mariano Rajoy que Bruselas le había tumbado los presupuestos</t>
  </si>
  <si>
    <t>https://okdiario.com/espana/2018/11/23/cuando-sanchez-reprochaba-rajoy-que-bruselas-habia-tumbado-presupuestos-3380128</t>
  </si>
  <si>
    <t>eldiariomurcia</t>
  </si>
  <si>
    <t>El Gobierno de Pedro Sánchez negocia a "todos los niveles" para convencer a sus socios europeos de que no habrá un acuerdo político sobre el #Brexit sin que Bruselas respalde las posturas de España en su contencioso con UK por la soberanía de Gibraltar.</t>
  </si>
  <si>
    <t>http://ow.ly/91Nh30mITEp</t>
  </si>
  <si>
    <t>Región de Murcia - La Tierra</t>
  </si>
  <si>
    <t>📰 Eldiario.es en la Región de Murcia. Periodismo a pesar de todo.</t>
  </si>
  <si>
    <t>http://www.eldiario.es/murcia/</t>
  </si>
  <si>
    <t>esglobal</t>
  </si>
  <si>
    <t>SE HABLA DE 👉Visita histórica de Pedro Sánchez a Cuba: ambos países pactan reuniones anuales de alto nivel sobre DDHH. NOSOTROS TE CONTAMOS 👇 Cómo este viaje puede servir para recuperar el liderazgo que España tuvo en América Latina con Felipe González.</t>
  </si>
  <si>
    <t>https://www.esglobal.org/que-quiere-pedro-sanchez-en-cuba/</t>
  </si>
  <si>
    <t>esglobal ofrece las claves para entender el mundo en español. Cubre temas de política, economía, cultura y sociedad.</t>
  </si>
  <si>
    <t>http://www.esglobal.org/</t>
  </si>
  <si>
    <t>https://okdiario.com/economia/empresas/2018/11/23/sanchez-premia-constructora-investigada-caso-acuamed-lleva-avion-cuba-3380485#.W_fdsd2FTFU.twitter</t>
  </si>
  <si>
    <t>Pedro Sánchez firma un acuerdo difuso sobre "consultas políticas" con la dictadura cubana</t>
  </si>
  <si>
    <t>https://okdiario.com/internacional/2018/11/23/cuba-firma-espana-primera-vez-memorando-consultas-politicas-hablar-derechos-humanos-3382582#.W_fdeZzBGaE.twitter</t>
  </si>
  <si>
    <t>AbiertoPP</t>
  </si>
  <si>
    <t>🗣️ @zoidoJI: "El veto hay que mantenerlo. Pedro Sánchez está de viaje en Cuba en lugar de estar siguiendo muy de cerca los intereses de España en la negociación del Brexit". #LosDesayunos</t>
  </si>
  <si>
    <t>https://pbs.twimg.com/media/DsrM8tXUUAAFJQ8.jpg</t>
  </si>
  <si>
    <t>Iniciativa inspirada en los valores del #GobiernoAbierto para conseguir un @PPopular mas abierto a la sociedad #AbiertoPP</t>
  </si>
  <si>
    <t>https://abiertopp.es/</t>
  </si>
  <si>
    <t>#FOTOS Pedro Sánchez llega a La Habana para su primera visita oficial a Cuba</t>
  </si>
  <si>
    <t>https://goo.gl/Ma2QMV</t>
  </si>
  <si>
    <t>https://pbs.twimg.com/media/Dsp8yODWoAEVn2i.jpg</t>
  </si>
  <si>
    <t>Jose Vazquez Llamas</t>
  </si>
  <si>
    <t>Reflexiones de Pedro Sanchez. No! no! Del Presidente del Gobierno. Pito pito gorgorito donde voy? A negociar el Brexit en Bruselas? A Cuba? Mejor a Cuba, que no he ido nunca, porque Bruselas ya la conozco.</t>
  </si>
  <si>
    <t>Álvaro Rodríguez</t>
  </si>
  <si>
    <t>Puedo tener un novio como Pedro Sánchez? Espero no estar alejándome de la izquierda plural.</t>
  </si>
  <si>
    <t>Valencia</t>
  </si>
  <si>
    <t>Graduado en Historia. Máster en Historia Contemporánea, UV.</t>
  </si>
  <si>
    <t>Jacobo Monfort</t>
  </si>
  <si>
    <t>carlos a porras p</t>
  </si>
  <si>
    <t>Pedro Sánchez esta en Cuba hablando de derechos humanos y Cuba va a supervisar los derechos humanos en España,de verdad que esto da risa.</t>
  </si>
  <si>
    <t>Paula de Las Heras</t>
  </si>
  <si>
    <t>Sánchez traslada a Díaz-Canel su «ilusión» por ver a los Reyes en Cuba el año próximo  vía @diariosur</t>
  </si>
  <si>
    <t>https://www.diariosur.es/nacional/viaje-pedro-sanchez-cuba-20181123211321-ntrc.html</t>
  </si>
  <si>
    <t>Cronista de la actualidad política. Encargada de cubrir al PSOE y algo más para @ColpisaNoticias y los regionales de @Vocento</t>
  </si>
  <si>
    <t>Marchal-Sabater</t>
  </si>
  <si>
    <t>Otro jetazo de la hemeroteca a Pedro Sánchez.</t>
  </si>
  <si>
    <t>Escritor Murciano, Autor de: El Valle de las Tormentas; Bajo la Cruz de Lorena y Oiz 1985. La sombra de la sospecha.</t>
  </si>
  <si>
    <t>https://marchalsabater.wordpress.com/</t>
  </si>
  <si>
    <t>JL (Capi) 😎</t>
  </si>
  <si>
    <t>INCULTURA, HIPOCRESÍA y MALA LECHE. Pablo Casado y Albert Rivera acusan a Pedro Sánchez Pérez-Castejón de no entrevistarse con los disidentes en su reciente visita a Cuba. Ambos "acusadores" demuestran su grave...</t>
  </si>
  <si>
    <t>https://www.facebook.com/100003395081586/posts/1764317367024749/</t>
  </si>
  <si>
    <t>Más p'allá de Mordor</t>
  </si>
  <si>
    <t>Soy el protagonista de mi vida. SIEMPRE ES TEMPRANO PARA RENDIRSE. 😎</t>
  </si>
  <si>
    <t>bond james bond🇬🇧</t>
  </si>
  <si>
    <t>A mí me da ,que a la mujer de Pedro Sánchez le gusta hacer el amor en los baños de los aviones ,por qué otra explicación no hay ,ir a Valladolid en avión es la prueba de lo que estoy diciendo . RT @elenay29: Que con mi dinero esté pagando a la pareja de okupas caraduras sus múltiples viajes por el mundo creyéndose los Reyes de España, me repatea todo. Ahora en Cuba y España yéndose a la mierda.</t>
  </si>
  <si>
    <t>https://twitter.com/elenay29/status/1065910541900759040</t>
  </si>
  <si>
    <t>https://pbs.twimg.com/media/Dsrf_CiXoAAvAs_.jpg</t>
  </si>
  <si>
    <t>Me dicen de mis servicios secretos que.......🇪🇸</t>
  </si>
  <si>
    <t>Escupitajo de El País a la reprimida oposición cubana elogiando que Pedro Sánchez no se reúna con ellos</t>
  </si>
  <si>
    <t>Entonces ha dado ya la orden Pedro Sánchez de invadir Gibraltar? Echenique no creo que nos valga de Blas de Lezo.</t>
  </si>
  <si>
    <t>walter santeliz m</t>
  </si>
  <si>
    <t>Me ha gustado un vídeo de @YouTube ( - Pedro Sánchez en Cuba, un viaje sin precendentes en tres décadas).</t>
  </si>
  <si>
    <t>http://youtu.be/w-uOqy_1_KE?a</t>
  </si>
  <si>
    <t>venezuela</t>
  </si>
  <si>
    <t>luis lopez</t>
  </si>
  <si>
    <t>¿Tan cierto como el trabajo de fin de carrera de Pedro Sánchez? RT @BeatrizTalegon: Tan cierto es el escupitajo de #Borrell como la violencia de los #CDR, como el Golpe de Estado en Cataluña, como la Malversación de la Generalitat para el 1 de octubre, como la Rebelión, como la Sedición, como TODAS las PUÑETERAS MENTIRAS contra los soberanistas catalanes.</t>
  </si>
  <si>
    <t>https://twitter.com/BeatrizTalegon/status/1065292464704106497</t>
  </si>
  <si>
    <t>mis conocimientos son tan pocos que no me atrevo a exigirle a nadie que haga lo mismo que yo ni a prohibirle lo que a mí no me gusta</t>
  </si>
  <si>
    <t>Edurne Durne</t>
  </si>
  <si>
    <t>Cuando el silencio grita tanto mi destino es alzar la voz libre, sin miedos.</t>
  </si>
  <si>
    <t>Pedro Sánchez llega este jueves a Cuba para rendir pleitesía al régimen castrista  vía @libertaddigital</t>
  </si>
  <si>
    <t>https://www.libertaddigital.com/espana/2018-11-22/pedro-sanchez-viaja-a-cuba-para-rendir-pleitesia-al-regimen-castrista-1276628700/</t>
  </si>
  <si>
    <t>Tamara de Tabarnia</t>
  </si>
  <si>
    <t>El verdadero Pedro Sánchez - InfoVlogger  vía @YouTube</t>
  </si>
  <si>
    <t>https://youtu.be/OBEluUwFIu0</t>
  </si>
  <si>
    <t>Antropologia Cultural e Historia del Arte En Cataluña se ha instaurado un clima irrespirable con una manipulación obscena de la historia</t>
  </si>
  <si>
    <t>El Racó de pensar de Sant Esteve de les Roures</t>
  </si>
  <si>
    <t>Pedro Sánchez dijo en Canadá que en España ya se habían hecho dos referéndums de autodeterminación como en el Quebeq. Hoy está en Cuba, seguro que cuando hable de los nexos históricos entre Cuba y España les explica que aquí también tenemos CDRs y que son un orgullo para todos.</t>
  </si>
  <si>
    <t>https://pbs.twimg.com/media/DsroD9BXgAAMD-T.jpg</t>
  </si>
  <si>
    <t>Sant Esteve de les Roures</t>
  </si>
  <si>
    <t>Paco Reyes</t>
  </si>
  <si>
    <t>¿Estará defendiendo Pedro Sanchez Gibraltar porque piensa mandar alli a Franco, y despues volver a cerrar la verja?</t>
  </si>
  <si>
    <t>Chiclana de la Frontera, Españ</t>
  </si>
  <si>
    <t>ex-carnavalero, ex-cocinero y ex-tenuado.🇪🇸🇪🇸🇪🇸</t>
  </si>
  <si>
    <t>ELNECIOCUBANO</t>
  </si>
  <si>
    <t>Cuba y España firman acuerdos bilaterales:  vía @SputnikMundo</t>
  </si>
  <si>
    <t>EspaÑa</t>
  </si>
  <si>
    <t>https://mundo.sputniknews.com/politica/201811231083625746-visita-pedro-sanchez-la-habana/</t>
  </si>
  <si>
    <t>en mi planeta</t>
  </si>
  <si>
    <t>Cubano de convicción, Fidelista hasta el tuétano. Convencido de que un mundo mejor es posible.</t>
  </si>
  <si>
    <t>https://elblogdelnecio.wordpress.com/</t>
  </si>
  <si>
    <t>POLÍTICA Pedro Sánchez no verá a la oposición cubana para no desairar al castrismo en su viaje a la isla Nada de extrañar este socialismo estalinista se aluda con delincuentes y dictadores a las pruebas de la noticia en remito</t>
  </si>
  <si>
    <t>Pedro Sánchez propone la visita de los Reyes a Cuba en 2019  vía @Gaceta_es</t>
  </si>
  <si>
    <t>Fco. Javier Núñez</t>
  </si>
  <si>
    <t>https://okdiario.com/espana/2018/11/23/cuando-sanchez-reprochaba-rajoy-que-bruselas-habia-tumbado-presupuestos-3380128/amp</t>
  </si>
  <si>
    <t>Eibar, España</t>
  </si>
  <si>
    <t>Apasionado de mi ciudad, mi familia y la política. Community Manager a tu servicio. Coordinador del PP en Eibar</t>
  </si>
  <si>
    <t>http://www.fjaviernunez.es</t>
  </si>
  <si>
    <t>ABC España</t>
  </si>
  <si>
    <t>El Presidente del Gobierno amenazaba ayer con vetar el acuerdo del Brexit en la UE.</t>
  </si>
  <si>
    <t>http://espana.abc.es/qr6_a1</t>
  </si>
  <si>
    <t>Toda la actualidad política del panorama nacional, de mano de ABC</t>
  </si>
  <si>
    <t>mer</t>
  </si>
  <si>
    <t>@ Pedro Sanchez no seas imbecil y deja de hacer el tonto con kas votaciones sobre el pacto del Brexit porque das penica</t>
  </si>
  <si>
    <t>Chard, UK // Pego, ALC</t>
  </si>
  <si>
    <t>marxismo-leninismo // Stark-Slytherin🐺🐍 // @noeliaftruben ❤️</t>
  </si>
  <si>
    <t>http://Instagram.com/oxyymoron_</t>
  </si>
  <si>
    <t>NDiaye Stephan</t>
  </si>
  <si>
    <t>Cuba: Pedro Sánchez y Miguel Díaz Canel se reúnen en La Habana @TeleSURtv  via @YouTube</t>
  </si>
  <si>
    <t>https://youtu.be/7JBMfig7tBY</t>
  </si>
  <si>
    <t>Militant d'Esquerra Republicana de Catalunya</t>
  </si>
  <si>
    <t>https://www.youtube.com/channel/UC20DXdqj2lqQbSIkqNj4ygg</t>
  </si>
  <si>
    <t>Gobierno de Pedro Sánchez negocia a "todos los niveles" para convencer a sus socios europeos de que no habrá un acuerdo político sobre el Brexit sin que Bruselas respalde las posturas de España en su contencioso con Reino Unido por la soberanía de Gibraltar.</t>
  </si>
  <si>
    <t>Carlos Pareja González</t>
  </si>
  <si>
    <t>Vuelta la yunta al trigo con Gibraltar, como se nota que tanto Teresa May como Pedro Sánchez tienen cosas que tapar con humo del de siempre, que a los españoles Gibraltar, nos la trae al pairo, Pedro ...</t>
  </si>
  <si>
    <t>Soy un tipo de 61 años con una vida rica y variada en lo profesional y en lo personal, superé ayer un cáncer y hoy escribo artículos y novelas y procuro VIVIR.</t>
  </si>
  <si>
    <t>Charran Español</t>
  </si>
  <si>
    <t>La prensa castrista ya trata al 'amigo' Pedro Sánchez de “excelentísimo”  vía ESdiario_com</t>
  </si>
  <si>
    <t>Me encanta sobrevolar una España que no sea llevada a la ruina por parte de los partidos de izquierdas.</t>
  </si>
  <si>
    <t>Pedro Sánchez llega a Cuba y se reúne con el presidente Díaz Canel @TeleSURtv  via @YouTube</t>
  </si>
  <si>
    <t>https://youtu.be/fxeeFgfi_rE</t>
  </si>
  <si>
    <t>Miguel Galarraga</t>
  </si>
  <si>
    <t>Se jodio España...!!!</t>
  </si>
  <si>
    <t>https://www.larazon.es/amp/espana/pedro-sanchez-no-se-reunira-en-su-viaje-a-cuba-con-los-grupos-opositores-IH20630495</t>
  </si>
  <si>
    <t xml:space="preserve">La otrora Ciudad Jardín </t>
  </si>
  <si>
    <t>Quiero ver mi patria libre de nuevo, limpia de esta plaga que le cayó, mi entrega total a cualquier lucha que se presente para lograrlo...!!!</t>
  </si>
  <si>
    <t>Jaime Astarloa</t>
  </si>
  <si>
    <t>El IBEX señala el fin del Gobierno de Pedro Sánchez  vía @EconomiaED_</t>
  </si>
  <si>
    <t>Al timón de mi viejo barco, contemplando el mar discurrir bajo la quilla y el horizonte lejano hacia el que me dirijo. Tabarnés por convicción y residencia.</t>
  </si>
  <si>
    <t>República Catalana</t>
  </si>
  <si>
    <t>Visita de Pedro Sánchez a Cuba</t>
  </si>
  <si>
    <t>http://www.youtube.com/watch?v=pS-RyPDQBho
https://www.veoinfo.com/visita-de-pedro-sanchez-a-cuba/</t>
  </si>
  <si>
    <t>Langreo, España</t>
  </si>
  <si>
    <t>SOLIDARIDAD, IGUALDAD Y LIBERTAD</t>
  </si>
  <si>
    <t>CUENTA OFICIAL S.I.L - El pueblo que desatiende su Política acaba gobernado por las peores personas. #Socialdemocracia #Iberismo #Hispanidad #Europeísmo</t>
  </si>
  <si>
    <t>http://www.socialdemocratas.es</t>
  </si>
  <si>
    <t>ESSAÍ</t>
  </si>
  <si>
    <t>Málaga, Andalucía</t>
  </si>
  <si>
    <t>Garnata al-Yahud</t>
  </si>
  <si>
    <t>Si yo no me siento más que tú, no pretendas ser más que yo; porque a mí las personas, vengan de donde vengan, me gustan de una en una. #Socialdemocracia #Iberis</t>
  </si>
  <si>
    <t>PEDRO</t>
  </si>
  <si>
    <t>Huétor Vega (Granada)</t>
  </si>
  <si>
    <t>SECRETARIO GENERAL DE SIL. Es preferible equivocarse mil veces a lamentarse una sóla. #Izquierda #Socialdemocracia #Iberismo #Hispanidad</t>
  </si>
  <si>
    <t>EL TREN ES VIDA</t>
  </si>
  <si>
    <t>El ferrocarril es la medida exacta del grado de desarrollo socioeconómico de un país, y en Andalucía lo han desmantelado.</t>
  </si>
  <si>
    <t>ESdiario</t>
  </si>
  <si>
    <t>La prensa castrista ya trata al 'amigo' Pedro Sánchez de “excelentísimo”  vía @ESdiario_com</t>
  </si>
  <si>
    <t>Tras 16 años con la realidad política, social y empresarial de España, El Semanal Digital se convierte en ESdiario. Su portal de opinión sigue en @ElSemanalD.</t>
  </si>
  <si>
    <t>http://www.esdiario.com</t>
  </si>
  <si>
    <t>Antonio Naranjo</t>
  </si>
  <si>
    <t>En el centro, de España</t>
  </si>
  <si>
    <t>Periodista y consultor de Comunicación. Hago editoriales en @ESdiario_com. Naranjo III en @herreraencope. Hablo en @EspejoPublico Fui profesor en la Carlos III.</t>
  </si>
  <si>
    <t>https://www.esdiario.com/secciones/1/89/autor/autores.html</t>
  </si>
  <si>
    <t>Javi</t>
  </si>
  <si>
    <t>Francisco Sau</t>
  </si>
  <si>
    <t>Pedro Sanchez en #Cuba y Jose Luis Rodriguez Zapatero en #Venezuela es #España un país promotor del #TerrorismoDeEstado y de #DictaduraComunista #LlibertatPresosPolitics en #Catalunya Cuba y Venezuela</t>
  </si>
  <si>
    <t>https://www.mambiaccion.com/2018/11/carta-abierta-de-la-omct-al-presidente.html?spref=fb</t>
  </si>
  <si>
    <t>Barcelona, España.</t>
  </si>
  <si>
    <t>Sé de un pesar profundo entre las penas sin nombres la esclavitud de los hombres es la gran pena del mundo. José Martí</t>
  </si>
  <si>
    <t>http://www.mambiaccion.com</t>
  </si>
  <si>
    <t>Valesia</t>
  </si>
  <si>
    <t>El IBEX señala el fin del Gobierno de Pedro Sánchez. Pedro Sánchez concluye su viaje a Cuba con una discreta representación económica. Las élites empresariales no ven en él un activo a largo plazo  vía @EconomiaED_</t>
  </si>
  <si>
    <t>Encuentro la televisión muy educativa. Cada vez que alguien la enciende, me retiro a otra habitación y leo un libro</t>
  </si>
  <si>
    <t>Economía Digital</t>
  </si>
  <si>
    <t>Pedro Sánchez concluirá hoy viernes su viaje a #Cuba, que tiene mucho de simbólico. Las élites empresariales no ven en él un activo a largo plazo</t>
  </si>
  <si>
    <t>https://www.economiadigital.es/politica-y-sociedad/el-ibex-senala-el-fin-del-gobierno-de-pedro-sanchez_590507_102.html?utm_source=Twitter&amp;utm_medium=Social</t>
  </si>
  <si>
    <t>La información necesaria. Desde el 15/NOV/2008. Nuestros canales: @galiciaED_ @ideasED_ @cerodosbe @diariogolcom y @smartzings. Nuestros libros: @edlibros</t>
  </si>
  <si>
    <t>https://www.economiadigital.es/</t>
  </si>
  <si>
    <t>Pedro Sánchez en #Cuba y Jose L. R. Zapatero en #Venezuela es #España un país promotor del #TerrorismoDeEstado y de #DictaduraComunista #DDHH  #LlibertatPresosPoliticos #Catalunya</t>
  </si>
  <si>
    <t>https://www.mambiaccion.com/2018/11/carta-abierta-de-la-omct-al-presidente.html</t>
  </si>
  <si>
    <t>Este es el camino que le esperaría a una hipotética Colombia con Petro. Iglesias apoyaba los presupuestos de Pedro Sánchez. RT @LasoNestor: A Pablo Iglesias, el aliado de Petro en España, no le quieren las organizaciones internacionales.</t>
  </si>
  <si>
    <t>https://twitter.com/LasoNestor/status/1065914722179055617
https://www.elmundo.es/espana/2018/11/23/5bf7ccc0268e3e66388b45d4.html</t>
  </si>
  <si>
    <t>Noticias_41</t>
  </si>
  <si>
    <t>Pedro Sánchez se reúne con Díaz-Canel y firman memorandos</t>
  </si>
  <si>
    <t>http://dlvr.it/QrwNww</t>
  </si>
  <si>
    <t>https://pbs.twimg.com/media/DsrlTiaV4AADUMt.jpg</t>
  </si>
  <si>
    <t>Miami, Florida</t>
  </si>
  <si>
    <t>Una hora antes que los de mas, con noticias e información, entrega con la fluidez y espontaneidad de los especialistas en noticias.</t>
  </si>
  <si>
    <t>http://www.americateve.com/noticias</t>
  </si>
  <si>
    <t>ENCUESTA...¿Confías en las posibilidades de Pedro Sánchez negociando sobre Gibraltar?  vía @ABCespana</t>
  </si>
  <si>
    <t>https://www.abc.es/espana/abci-opine-sobre-posibilidades-pedro-sanchez-negociacion-sobre-gibraltar-201811231120_noticia.html#ns_campaign=rrss-inducido&amp;ns_mchannel=abc-es&amp;ns_source=tw&amp;ns_linkname=noticia-foto&amp;ns_fee=0</t>
  </si>
  <si>
    <t>Dugall</t>
  </si>
  <si>
    <t>Esto lo dice Pedro Sánchez los días pares. Los días impares, esto otro: "Tras mi conversación con Theresa May, nuestras posiciones NO permanecen alejadas. Mi Gobierno NO siempre defenderá los intereses de España. Si no hay cambios, NO vetaremos el Brexit." RT @sanchezcastejon: Tras mi conversación con Theresa May, nuestras posiciones permanecen lejanas. Mi Gobierno siempre defenderá los intereses de España. Si no hay cambios, vetaremos el Brexit.</t>
  </si>
  <si>
    <t>Irónico, sarcástico (al menos, eso intento), en especial, conmigo mismo Soy de los que piensa que podría ser peor, podría llover.</t>
  </si>
  <si>
    <t>Alex Cruz</t>
  </si>
  <si>
    <t>Jun o Granada. Que mas da</t>
  </si>
  <si>
    <t>Y que mas da</t>
  </si>
  <si>
    <t>madrid</t>
  </si>
  <si>
    <t>Fernan</t>
  </si>
  <si>
    <t>Me ha gustado un vídeo de @YouTube ( - Monumental pitada al OCUPA Pedro Sanchez en Valladolid).</t>
  </si>
  <si>
    <t>http://youtu.be/5WicgQ7iG3E?a</t>
  </si>
  <si>
    <t>Juventud Rebelde</t>
  </si>
  <si>
    <t>#Cuba @sanchezcastejon en La Habana, historia y cooperación  @DiazCanelB @CubaMINREX #SomosCuba</t>
  </si>
  <si>
    <t>https://pbs.twimg.com/media/DsrkZlrUUAEI-eW.jpg</t>
  </si>
  <si>
    <t>Diario de la juventud cubana. Noticias, entrevistas y reportajes sobre Cuba y el mundo actualizado en tiempo real.</t>
  </si>
  <si>
    <t>http://www.juventudrebelde.cu</t>
  </si>
  <si>
    <t>Angel Martín Carpena</t>
  </si>
  <si>
    <t>Pedro Sánchez se niega a criticar a Gabriel Rufián para no enfadar a los independentistas  vía @</t>
  </si>
  <si>
    <t>https://diariopatriota.com/pedro-sanchez-se-niega-a-criticar-a-gabriel-rufian-para-no-enfadar-a-los-independentistas/</t>
  </si>
  <si>
    <t>Javier ن</t>
  </si>
  <si>
    <t>Nunca nadie se bajó tanto los pantalones a cambio de tan poco. Pobre hombre, este Sánchez.</t>
  </si>
  <si>
    <t>Burgos</t>
  </si>
  <si>
    <t>Educador</t>
  </si>
  <si>
    <t>Mar Serrano</t>
  </si>
  <si>
    <t>Las promesas para Madrid que Pedro Sánchez ha hecho a Garrido  vía @ABC_Madrid</t>
  </si>
  <si>
    <t>Pozuelo, España</t>
  </si>
  <si>
    <t>Dirección de Publicidad y Entornos Digitales. La digitalización ha venido para quedarse. #MobileMarketimg Española 🇪🇸 sin complejos</t>
  </si>
  <si>
    <t>Julio Ganguita 🇪🇸</t>
  </si>
  <si>
    <t>Iglesias no apoyará a Sánchez para "patriotismos extraños" con Gibraltar</t>
  </si>
  <si>
    <t>https://www.elconfidencial.com/espana/2018-11-23/brexit-gibraltar-pablo-iglesias-pedro-sanchez-patriotismo_1664358/</t>
  </si>
  <si>
    <t>Cabra, España</t>
  </si>
  <si>
    <t>La corrupción en España solo puede solucionarla el detective Colombo.</t>
  </si>
  <si>
    <t>Los socios de Pedro Sánchez degradan la democracia en el Congreso de los Diputados. Por Eugenio Narbaiza</t>
  </si>
  <si>
    <t>https://lapaseata.net/2018/11/22/socios-pedro-sanchez-degradan-democracia/</t>
  </si>
  <si>
    <t>guille</t>
  </si>
  <si>
    <t>pedro sánchez acaba de decir que el cringe en estas fechas oficialmente pasa a ser el grinch</t>
  </si>
  <si>
    <t>☕</t>
  </si>
  <si>
    <t>de tranquis</t>
  </si>
  <si>
    <t>https://curiouscat.me/cuaquers</t>
  </si>
  <si>
    <t>Juan Antonio Parra</t>
  </si>
  <si>
    <t>Murcia (Españistán)</t>
  </si>
  <si>
    <t>Aficionado a las buenas músicas del mundo y al baloncesto. Indignado, no. Hasta los huevos... Instagram: @j.parrag</t>
  </si>
  <si>
    <t>Pepe Santón Cruceira</t>
  </si>
  <si>
    <t>JGM</t>
  </si>
  <si>
    <t>Iglesias no apoyará a Sánchez para "patriotismos extraños" con Gibraltar  El Confidencial</t>
  </si>
  <si>
    <t>https://ift.tt/2R7IVDL</t>
  </si>
  <si>
    <t>La vida es un gran viaje para encontrarse a uno mismo, y debemos hacerlo con la mayor ilusión posible.</t>
  </si>
  <si>
    <t>Radio Galega</t>
  </si>
  <si>
    <t>▶️🔊 Preme na seguinte ligazón para escoitar o comentario diario de Fernando Ónega no @GxDRadioGalega sobre a visita de Pedro Sánchez a Cuba. #EscoitaAGalega</t>
  </si>
  <si>
    <t>http://www.radiogalega.gal/rg/destacados/galicia-por-diante-galicia-por-diante-do-dia-23-11-2018-3965714</t>
  </si>
  <si>
    <t>Benvido ao twitter oficial da Radio Galega. Segue tamén toda a actualidade en @CRTVG e @TVGalicia</t>
  </si>
  <si>
    <t>http://www.radiogalega.gal</t>
  </si>
  <si>
    <t>Angel Baena 🇪🇸</t>
  </si>
  <si>
    <t>Ojalá la UE puedan parar la desastrosa politice económica de Pedro Sanchez, antes de que este inútil destroce la economía de los españoles. Y digo la UE porque la oposición en España parece que ni está ni se la espera.😱 RT @libre_mercado: La Comisión, el FMI y la OCDE 'destrozan' la política económica de Sánchez</t>
  </si>
  <si>
    <t>https://twitter.com/libre_mercado/status/1065706395901644800
http://dlvr.it/QrtQxm</t>
  </si>
  <si>
    <t>ME ENCANTA QUE LOS PLANES SALGAN BIEN 🤣</t>
  </si>
  <si>
    <t>Aitona Cabreado</t>
  </si>
  <si>
    <t>Sánchez asegura que el Gobierno "vetará" el acuerdo del Brexit si no defiende "los intereses de España" sobre Gibraltar  vía @eldiarioes</t>
  </si>
  <si>
    <t>https://www.eldiario.es/_31fac1e7</t>
  </si>
  <si>
    <t>Donostia</t>
  </si>
  <si>
    <t>De izquierdas republicano siempre en lucha contra mis contradiccones</t>
  </si>
  <si>
    <t>Asier Antona</t>
  </si>
  <si>
    <t>Ayer y hoy se celebra en Canarias la XXIII Conferencia de Presidentes de las RUP, con los principales representantes políticos: S.M. El Rey Don Felipe, la comisaria de Política Regional o el vicepresidente del Parlamento Europeo. Todos con Canarias. Todos menos uno: Pedro Sánchez</t>
  </si>
  <si>
    <t>https://pbs.twimg.com/media/DsrinJ4WkAAPQBa.jpg</t>
  </si>
  <si>
    <t>Islas Canarias, España</t>
  </si>
  <si>
    <t>Presidente del @ppdecanarias . Presidente del @PPparcan. Y lo más importante, casado con @AuroradlRosario y padre de tres hijos.</t>
  </si>
  <si>
    <t>Alb. Pascual</t>
  </si>
  <si>
    <t>Ver a Pedro Sánchez marcando paquete con el Reino Unido no tiene precio... La embestida va a ser épica.</t>
  </si>
  <si>
    <t>República Catalana, EU</t>
  </si>
  <si>
    <t>República Catalana i The Chameleons.</t>
  </si>
  <si>
    <t>ECEspaña</t>
  </si>
  <si>
    <t>https://www.elconfidencial.com/espana/2018-11-23/brexit-gibraltar-pablo-iglesias-pedro-sanchez-patriotismo_1664358/?utm_source=twitter&amp;utm_medium=social&amp;utm_campaign=NacionalDiarioAutomatico</t>
  </si>
  <si>
    <t>Alicante, España</t>
  </si>
  <si>
    <t>Sección de Nacional de @elconfidencial. Investigación, política y tribunales.</t>
  </si>
  <si>
    <t>http://elconfidencial.com</t>
  </si>
  <si>
    <t>NOTICIAS_ES</t>
  </si>
  <si>
    <t>El Confidencial - Iglesias no apoyará a Sánchez para "patriotismos extraños" con Gibraltar</t>
  </si>
  <si>
    <t>🇪🇸🇪🇸SOQ🇪🇸🇪🇸</t>
  </si>
  <si>
    <t>Será cierto? El IBEX señala el fin del Gobierno de Pedro Sánchez  vía @EconomiaED_</t>
  </si>
  <si>
    <t>Vigo</t>
  </si>
  <si>
    <t>Trabajando en medio mundo y viviendo en el otro medio aprende uno cuales son su patria, su bandera, su amigos y su familia.</t>
  </si>
  <si>
    <t>josegabriel</t>
  </si>
  <si>
    <t>Pedro Sánchez,carga pilas en nuestra Cuba Linda y vuelves a trabajar x unos presupuestos sociales buenos para la  Se Puede</t>
  </si>
  <si>
    <t>http://gente.Si</t>
  </si>
  <si>
    <t>Ciudadano del mundo. Doctor (PhD) en Geo e Historia. Investigador. Profe.Nada humano me es ajeno. Cooperante. Proyectos de Desarrollo. Humor cáustico, dicen!</t>
  </si>
  <si>
    <t>http://elregresodejuandemairena.blogspot.com.es/</t>
  </si>
  <si>
    <t>Flor María Fernández</t>
  </si>
  <si>
    <t>Asturias ,Aviles.</t>
  </si>
  <si>
    <t>ESPAÑOLA. ASTURIANA DE AVILÉS.CATOLICA. ORGULLOSA DE SER ESPAÑOLA.</t>
  </si>
  <si>
    <t>Laissez</t>
  </si>
  <si>
    <t>España y Cuba alcanzan acuerdo sobre derechos humanos. Luego el presidente Pedro Sánchez irá a Austria a cerrar un acuerdo pesquero.</t>
  </si>
  <si>
    <t>Español, blanco, hetero, minarquista, antiprogre, antibuenismo, antiLIVG, anti inmigración ilegal.</t>
  </si>
  <si>
    <t>vai</t>
  </si>
  <si>
    <t>Presidente Pedro Sánchez. Gobierno de España. : Prohibición de la venta y tráfico de animales. - ¡Firma la petición!  vía @change_es</t>
  </si>
  <si>
    <t>http://chng.it/gr7xjn5v</t>
  </si>
  <si>
    <t>Unica, diferente... Me pasaría mi vida rodeada de animales, es lo que mas me gusta. Vegetariana hasta la medula¡¡y ANTITAURINA 100% POR TI LOLA¡¡</t>
  </si>
  <si>
    <t>Pepita Jimenez</t>
  </si>
  <si>
    <t>El PNV arranca a Sánchez competencias para Euskadi</t>
  </si>
  <si>
    <t>Bcaes</t>
  </si>
  <si>
    <t>Menudo lío tiene el PSOE con Gibraltar y el Brexit… ¡qué oportunidad perdida y qué desastre! ¿Y Pedro Sánchez? de viaje con la Bego para no variar. RT @europapress: Exteriores aclara que el anuncio hecho por el ministro principal de Gibraltar no se refiere al tratado del Brexit</t>
  </si>
  <si>
    <t>https://twitter.com/europapress/status/1065908505952075776
https://bit.ly/2FE8zhZ</t>
  </si>
  <si>
    <t>https://pbs.twimg.com/media/DsreCrwXcAI1-0X.jpg</t>
  </si>
  <si>
    <t>Cádiz, España</t>
  </si>
  <si>
    <t>LIBERAL MINARQUISTA / HISPANÓFILO Y EUROPEÍSTA / ARTE / HISTORIA / 🇪🇸 🇪🇺</t>
  </si>
  <si>
    <t>España y Cuba establecen un mecanismo de consultas para promover los derechos humanos - MADRID (Sputnik) — El presidente del Gobierno español, Pedro Sánchez, y el presidente de Cuba, Miguel Díaz-Canel, acordaron el esta...</t>
  </si>
  <si>
    <t>http://bit.ly/2FDXFcc</t>
  </si>
  <si>
    <t>Issur Sánchez</t>
  </si>
  <si>
    <t>España y Cuba. Curioso que se critique a Pedro Sánchez por visitar el país cubano, cuando el primero que mantenía relaciones con ellos era nuestro jefe de estado 🤣.</t>
  </si>
  <si>
    <t>https://pbs.twimg.com/media/DsrhO9vXgAAzbB0.jpg</t>
  </si>
  <si>
    <t>Barakaldo - Almería, España.</t>
  </si>
  <si>
    <t>Bilbao, 1994. Vasco y español. Muy de la Real Sociedad, republicano y federalista.</t>
  </si>
  <si>
    <t>Mayte Cortés</t>
  </si>
  <si>
    <t>Córdoba</t>
  </si>
  <si>
    <t>Coruñesa, cordobesa y Española. Viva España!!🇪🇸 Bloqueada por P. Iglesias el coletas, el asesino Otegui, el fascista Torra, Antonio Maestre.. 💪 💙🇪🇸 No MD</t>
  </si>
  <si>
    <t>AIL</t>
  </si>
  <si>
    <t>Palabras del Presidente de AIL y miembro de la ULC, Antonio Guedes, sobre la visita de Pedro Sánchez a #Cuba</t>
  </si>
  <si>
    <t>https://asociacionail.com/palabras-del-presidente-de-ail-sobre-la-visita-de-pedro-sanchez-a-cuba/</t>
  </si>
  <si>
    <t>Madrid. España</t>
  </si>
  <si>
    <t>Asociación de Iberoamericanos por la Libertad. Trabajamos por la democracia, los derechos humanos y la libertad en los países de América Latina.</t>
  </si>
  <si>
    <t>http://www.asociacionail.com</t>
  </si>
  <si>
    <t>Agencia Atlas</t>
  </si>
  <si>
    <t>.@sanchezcastejon es recibido con honores militares en Cuba</t>
  </si>
  <si>
    <t>http://www.atlas-news.com/agencia-internet/politica/Pedro-Sanchez-recibido-militares-Cuba_3_1510678924.html</t>
  </si>
  <si>
    <t>Más de 100 noticias diarias para TV e Internet. We produce and distribute over 100 daily news stories for TV and Internet. pagencia@atlas-news.com +34913966762</t>
  </si>
  <si>
    <t>http://www.atlas-news.com</t>
  </si>
  <si>
    <t>Pepa</t>
  </si>
  <si>
    <t>Pedro Sánchez muestra su apoyo a Borrel por las palabras y gestos dirigidos contra él. También agracede a Ana Pastor su defensa de la moderación. Quien dice que Borrell no tiene apoyos de la Dirección del partido? Simplemente mienten. #ElPSOEDaSeguridad</t>
  </si>
  <si>
    <t>https://m.facebook.com/pedro.sanchezperezcastejon/posts/2147373745284237?__tn__=-R</t>
  </si>
  <si>
    <t>https://pbs.twimg.com/media/DsrgpNjXgAAXxub.jpg</t>
  </si>
  <si>
    <t>Al Mayadeen Español</t>
  </si>
  <si>
    <t>Presidente de #Cuba recibe a jefe del Gobierno español, Pedro Sánchez</t>
  </si>
  <si>
    <t>http://bit.ly/2AftodI</t>
  </si>
  <si>
    <t>https://pbs.twimg.com/media/DsrgjRDWsAEuQ2v.jpg</t>
  </si>
  <si>
    <t>Beirut, Líbano</t>
  </si>
  <si>
    <t>Valencia, Comunidad Valenciana</t>
  </si>
  <si>
    <t>Creemos en el principio de la realidad tal y como es. Nos comprometimos con la información independiente. Desde el mundo árabe nos acercamos a ti.</t>
  </si>
  <si>
    <t>http://espanol.almayadeen.net</t>
  </si>
  <si>
    <t>Víctor Serrano Entío</t>
  </si>
  <si>
    <t>Precioso homenaje de El País al presidente Pedro Sánchez Castejón. Dentro vídeo👇 Volando Voy-  vía @elpais</t>
  </si>
  <si>
    <t>https://elpais.com/elpais/2018/11/22/eps/1542898694_034201.html</t>
  </si>
  <si>
    <t>Cataluña, España</t>
  </si>
  <si>
    <t>Abogado. Justicia y Ley. Por su orden.</t>
  </si>
  <si>
    <t>https://www.heraldo.es/tags/autores/victor_serrano_entio.html</t>
  </si>
  <si>
    <t>Rachael Newman</t>
  </si>
  <si>
    <t>Muy bueno. Aunque, dudo que le vaya a hacer mucho caso. Si fuera un independentista catalán, sería otra cosa</t>
  </si>
  <si>
    <t>Toledo, Castilla-La Mancha</t>
  </si>
  <si>
    <t>Soy una persona que dice lo que piensa aunque a muchos no les guste lo que pienso. Aunque, más bien, prefieren que no piense...</t>
  </si>
  <si>
    <t>http://rachaelhistorias.blogspot.com.es/</t>
  </si>
  <si>
    <t xml:space="preserve">blas garcia </t>
  </si>
  <si>
    <t>José Daniel Ferrer: «Es posible que liberen a presos para decir que la visita de Pedro Sánchez a Cuba ha sido un éxito»  vía @ABCespana</t>
  </si>
  <si>
    <t>Honrado de haber nacido en España Cuando los hombres aman a las mujeres Les dan sólo un poco de su vida Mas las mujeres cuando aman lo dan todo". Oscar Wilde</t>
  </si>
  <si>
    <t>http://bierzogpb.blogspot.com.es/</t>
  </si>
  <si>
    <t>♍️VermuGijón ツ🍸🇪🇸</t>
  </si>
  <si>
    <t>Este hombre está enfermo. Y lo digo muy en serio. Pedro Sánchez mandó su coche oficial vacío a Valladolid para hacer los 8 kms del aeropuerto a la ciudad.</t>
  </si>
  <si>
    <t>https://okdiario.com/espana/2018/11/21/sanchez-mando-coche-oficial-vacio-valladolid-hacer-8-kms-del-aeropuerto-ciudad-3377374</t>
  </si>
  <si>
    <t>MAQUIAVELA</t>
  </si>
  <si>
    <t>Gijón❤️🇪🇸 #PuxaSporting!💪🏼</t>
  </si>
  <si>
    <t>Perfectamente imperfecta. Me recuperé de la caída en la barrica del vermú y aquí estoy, desarrollando los poderes de supervivencia bebidos #CuentaVerificada🔹😁</t>
  </si>
  <si>
    <t>https://youtu.be/cqZc7ZQURMs</t>
  </si>
  <si>
    <t>Tabarnesa convencida, amiga dl progreso. Catalana,española y europea</t>
  </si>
  <si>
    <t>ZETAS GAC OVIEDO</t>
  </si>
  <si>
    <t>Menuda mierda de periodista..... Ferreras ya no se esconde y ejerce de jefe de prensa de Sánchez, defendiéndole mientras ataca brutalmente al PP sin venir a cuento  vía @Periodistadigit</t>
  </si>
  <si>
    <t>Zeta la última letra... los primeros en llegar y los últimos en irse. #SERVIR Y PROTEGER. ☎️091🇪🇸🇪🇸🚔👮 TWITTER NO OFICIAL</t>
  </si>
  <si>
    <t>Hugo Diaz Milano</t>
  </si>
  <si>
    <t>Carta abierta de un cubano a Pedro Sánchez ⁦@ianasagasti⁩</t>
  </si>
  <si>
    <t>ÜT: 10.477853,-66.845594</t>
  </si>
  <si>
    <t>Periodista venezolano. Fanático del jazz, Yankees de New York y del Athletic de Bilbao. Journalist. Avid fan of jazz and of The New York Yankees.</t>
  </si>
  <si>
    <t>Pablo</t>
  </si>
  <si>
    <t>Pedro Sanchez soyelpresidentedelgobierno @Buenafuente 🤣🤣</t>
  </si>
  <si>
    <t>Redactor en @Areajugones. Antes en @Nintenderos,@RegionPS y @SnasGG</t>
  </si>
  <si>
    <t>http://Areajugones.com</t>
  </si>
  <si>
    <t>Vocero de Hispania</t>
  </si>
  <si>
    <t>¡Se hace saber!: José Daniel Ferrer: «Es posible que liberen a presos para decir que la visita de Pedro Sánchez a Cuba ha sido un éxito»</t>
  </si>
  <si>
    <t>https://ift.tt/2qXbqsm</t>
  </si>
  <si>
    <t>¡Se hace saber, que se publicará todo lo que sea, para que el pueblo conozca la noticia... o el cotilleo! (Sea cual sea).</t>
  </si>
  <si>
    <t>http://www.vocerohispania.blogspot.com</t>
  </si>
  <si>
    <t>Pedro Sánchez se está buscando chulo para cuando consigamos echarle del gobierno. Y, cómo Zapatero ya se ha quedado a Maduro, se va a Cuba a buscarlo</t>
  </si>
  <si>
    <t>https://www.20minutos.es/noticia/3499202/0/pedro-sanchez-viaje-cuba-reunion-diaz-canel-habana-llega/</t>
  </si>
  <si>
    <t>Luis Romario</t>
  </si>
  <si>
    <t>Cuba y España dan luz verde para fortalecer los lazos bilaterales</t>
  </si>
  <si>
    <t>http://dlvr.it/QrwHHy</t>
  </si>
  <si>
    <t>https://pbs.twimg.com/media/Dsrd-7GUwAEN48-.jpg</t>
  </si>
  <si>
    <t>🌴🌴TU Y YO🌴🌴🌴🍁🍁🍁</t>
  </si>
  <si>
    <t>José Luis Ábalos, ministro de Fomento de Pedro Sánchez, no dudó en enchufar a su mujer como tesorera de la ONG FIADELSO.</t>
  </si>
  <si>
    <t>https://www.elmatinal.com/actualidad/el-comunista-abalos-enchufa-a-su-mujer-como-tesorera-de-su-ong-que-ha-recibido-49-millones-publicos/</t>
  </si>
  <si>
    <t>correo electrónico: lunadebenidorm@gmail.com</t>
  </si>
  <si>
    <t>Radio Taino "La FM de Cuba"</t>
  </si>
  <si>
    <t>Monarquía España ⚜</t>
  </si>
  <si>
    <t>Cuando la Reina Sofía visitó un local clandestino en su viaje a Cuba</t>
  </si>
  <si>
    <t>https://www.revistavanityfair.es/poder/articulos/reina-sofia-con-ana-botella-local-clandestino-viaje-a-cuba-la-habana-visita-pedro-sanchez-fidel-castro-reyes-espana/34800</t>
  </si>
  <si>
    <t>La Habana.#Cuba</t>
  </si>
  <si>
    <t>Radio Taino, fundada el 3 de noviembre de 1985. Puede escucharnos en audio real. Started on November3,1985. You can listen to us in real audio by #RTaino #Cuba</t>
  </si>
  <si>
    <t>http://www.radiotaino.icrt.cu</t>
  </si>
  <si>
    <t>Capital del Reino de España</t>
  </si>
  <si>
    <t>Twitter NO Oficial sobre la #Monarquía #Española Información sobre la #CasaRealEspañola y su historia. #VERDE #FELIPEVI http://www.casarealdeespana.es 🇪🇸⚜️</t>
  </si>
  <si>
    <t>https://www.facebook.com/MonarquiaEspanola</t>
  </si>
  <si>
    <t>Brais Rodríguez</t>
  </si>
  <si>
    <t>Gente que llama okupa a Pedro Sánchez criticando el HT #ParaQuéSirveLaMonarquía porque dicen que el Rey es Democracia.</t>
  </si>
  <si>
    <t>pic.twitter.com/IdFWeiVMjU</t>
  </si>
  <si>
    <t>Europa 🇪🇺🇪🇺🇪🇺</t>
  </si>
  <si>
    <t>Emperador del Sacro Imperio Romano Germánico 🇩🇪🇩🇪🇩🇪.</t>
  </si>
  <si>
    <t>ideal_jaen</t>
  </si>
  <si>
    <t>#Opinión "Pedro Sánchez Jaén y su equipo han conseguido una estrella en poco más de un año"</t>
  </si>
  <si>
    <t>https://www.ideal.es/jaen/jaen/formula-exito-sentir-20181123231929-nt.html</t>
  </si>
  <si>
    <t>Diario local con toda la información de Jaén y su provincia.</t>
  </si>
  <si>
    <t>http://www.ideal.es/jaen</t>
  </si>
  <si>
    <t>Progrestona 🇪🇸</t>
  </si>
  <si>
    <t>Pedro Sánchez recibido con una gran pitada y abucheos, esta vez en Valladolid. España quiere ELECCIONES y elegir a su presidente. #EleccionesYa #EleccionesGeneralesYA #SanchezLargate #SanchezDimision</t>
  </si>
  <si>
    <t>pic.twitter.com/55JaKsmwFv</t>
  </si>
  <si>
    <t>Mar de Olivos, España.🇪🇸</t>
  </si>
  <si>
    <t>Gay, ESPAÑOL, Madridista, de Derechas, Anticomunista, Antiprogre.. Te doy permiso para que me insultes, me PONE. 🇪🇸🏳‍🌈 #GobiernoDeMierda http://instagram.com</t>
  </si>
  <si>
    <t>España calla</t>
  </si>
  <si>
    <t>https://okdiario.com/espana/2018/11/23/pedro-sanchez-reune-cupula-del-regimen-cubano-palacio-revolucion-3382388#.W_fPJVehOFo.twitter</t>
  </si>
  <si>
    <t>Castilla La Mancha</t>
  </si>
  <si>
    <t>Castellano-manchega de pura cepa; sanitaria de profesión , luchadora por vocación, últimamente cabreada como todo ciudadano al que este gobierno ha estafado</t>
  </si>
  <si>
    <t>EstoyDeCampaña 🌹</t>
  </si>
  <si>
    <t>#FelizFinde La simpleza insoportable de quienes critican el viaje de Pedro Sánchez a Cuba. 🤢🤢🤢</t>
  </si>
  <si>
    <t>Díaz-Canel y Pedro Sánchez habrían 'hablado de todo' en un encuentro a solas  | Diario de Cuba</t>
  </si>
  <si>
    <t>http://dlvr.it/QrwGDv</t>
  </si>
  <si>
    <t>https://pbs.twimg.com/media/DsrcjLGU8AALxEp.jpg</t>
  </si>
  <si>
    <t>La Pupila Asombrada</t>
  </si>
  <si>
    <t>Díaz-Canel y Pedro Sánchez habrían 'hablado de todo' en un encuentro a solas</t>
  </si>
  <si>
    <t>https://ift.tt/2BtbpCv</t>
  </si>
  <si>
    <t>La Habana,Cuba</t>
  </si>
  <si>
    <t>Asombrada con las violaciones de Derechos Humanos en Cuba</t>
  </si>
  <si>
    <t>News Caliente</t>
  </si>
  <si>
    <t>#Cuba Díaz-Canel y Pedro Sánchez habrían 'hablado de todo' en un encuentro a solas</t>
  </si>
  <si>
    <t>La Habana : Cuba</t>
  </si>
  <si>
    <t>Noticias al Caliente</t>
  </si>
  <si>
    <t>Antonio Javier</t>
  </si>
  <si>
    <t>Benos dás Hermámn desde Huelva un cordial saludo. Pedro Sánchez no se reúne con ningíun demócrata en Cuba. Solo viera a los verdugos, El que demoniza una dictadura española que sacó al país de la miseria y lo lanzo a la prosperidad y lo hundió en la miseria.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</si>
  <si>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https://twitter.com/hermanntertsch/status/1065693079720640512</t>
  </si>
  <si>
    <t>Huelva, España</t>
  </si>
  <si>
    <t>Capitán de Maquinas de la Armada Española</t>
  </si>
  <si>
    <t>Ruben Moreno</t>
  </si>
  <si>
    <t>El presidente de China realizará una visita de Estado a España la próxima semana y se verá con el Rey Felipe, Pedro Sánchez y Carmena  via @elmundoes</t>
  </si>
  <si>
    <t>https://www.elmundo.es/espana/2018/11/22/5bf7316746163fc0718b45db.html</t>
  </si>
  <si>
    <t>Diputado por Valencia del @GPPopular en el @Congreso_Es de los Diputados; Vicepresidente de la Comisión de Ciencia, Innovación y Universidades</t>
  </si>
  <si>
    <t>http://www.pp.es/ruben-moreno-palanques</t>
  </si>
  <si>
    <t>Veo España</t>
  </si>
  <si>
    <t>Pedro Sánchez visita Cuba con el objetivo de restaurar la relación política y económica</t>
  </si>
  <si>
    <t>http://dlvr.it/QrwG4n</t>
  </si>
  <si>
    <t>https://pbs.twimg.com/media/DsrcJ_4V4AIVNxb.jpg</t>
  </si>
  <si>
    <t>Veo España. La Actualidad de España en vídeos y noticias. @VeoInfo_</t>
  </si>
  <si>
    <t>http://VeoInfo.com/es</t>
  </si>
  <si>
    <t>EFETV</t>
  </si>
  <si>
    <t>Pedro Sánchez visita Cuba con el objetivo de restaurar la relación política económica  @efetv</t>
  </si>
  <si>
    <t>https://youtu.be/sVG08pYrifU</t>
  </si>
  <si>
    <t>La actualidad en vídeo de la Agencia EFE. La primera agencia de noticias en español y la cuarta del mundo.</t>
  </si>
  <si>
    <t>http://www.efe.com</t>
  </si>
  <si>
    <t>Carlos Morón Poggioن</t>
  </si>
  <si>
    <t>La prensa de hoy recoge el nombramiento de Antonio Alarcó como portavoz adjunto en la comisión de investigación del Senado sobre el plagio en la tesis doctoral del presidente del Gobierno, Pedro Sánchez. @aalarcoblog</t>
  </si>
  <si>
    <t>https://pbs.twimg.com/media/Dsrbg4iWsAM6Afs.jpg</t>
  </si>
  <si>
    <t>La Laguna, Canarias, España</t>
  </si>
  <si>
    <t>Lagunero. Estudiante de Turismo. Presidente de @NNGGLaLaguna. Consejero de Gobierno de la @CanalULL. 🇮🇨🇪🇸</t>
  </si>
  <si>
    <t>Manuela</t>
  </si>
  <si>
    <t># ¿Y de Andalucía qué? ..Cuba..Agenda de Pedro Sánchez en Cuba sin miramiento por la  el Cascabel.!!!</t>
  </si>
  <si>
    <t>http://disidencia.Video
https://toyyyestudiando.blogspot.com/2018/11/y-de-andalucia-que-cubaagenda-de-pedro.html?spref=fb</t>
  </si>
  <si>
    <t>LEON_EL_BIERZO</t>
  </si>
  <si>
    <t>APRENDIZA DE LA VIDA</t>
  </si>
  <si>
    <t>http://merianmi.wordpress.com/</t>
  </si>
  <si>
    <t>Isla Mía Cuba</t>
  </si>
  <si>
    <t>Arrecife, España</t>
  </si>
  <si>
    <t>La Habana Cuba</t>
  </si>
  <si>
    <t>Cuba es de los Cubanos.Amo a mi tierra bella</t>
  </si>
  <si>
    <t>El presidente se inclina ahora por juntar hasta seis urnas para que todo el partido se la juegue. Los barones temen que los arrastre a una contienda nacional que beneficie a Cs</t>
  </si>
  <si>
    <t>https://www.elconfidencial.com/espana/2018-11-23/pedro-sanchez-adelanto-electoral-superdomingo-barones_1663322/?utm_source=newsletter&amp;utm_medium=email&amp;utm_campaign=news_ec&amp;utm_content=textlink&amp;utm_term=1</t>
  </si>
  <si>
    <t>Elio Rodríguez</t>
  </si>
  <si>
    <t>Presidente de #Cuba🇨🇺Miguel Díaz-Canel @DiazCanelB recibió en el Palacio de la Revolución al presidente del Gobierno de #España 🇪🇸 Pedro Sánchez, quien se encuentra desarrollando un intenso programa en #Cuba 🇨🇺🇪🇸</t>
  </si>
  <si>
    <t>https://pbs.twimg.com/media/DsrazodWoAAVn2d.jpg</t>
  </si>
  <si>
    <t>Embajador de Cuba en Francia</t>
  </si>
  <si>
    <t>Mariana Hernández</t>
  </si>
  <si>
    <t>PEDRO SANCHEZ ERES UN CABRON! RT @CNNEE: Un presidente del gobierno español visita #Cuba por primera vez en 32 años</t>
  </si>
  <si>
    <t>https://twitter.com/cnnee/status/1065839080079065088
https://cnn.it/2OYpGL1</t>
  </si>
  <si>
    <t>https://pbs.twimg.com/media/Dsqe20bXoAAEUSv.jpg</t>
  </si>
  <si>
    <t>🌸24✌🏻I love books, movies and music ~ AD&amp;MP❣️18/8/17• Venezuelan🇻🇪Lic.🎓</t>
  </si>
  <si>
    <t>GrupoPopularGalicia</t>
  </si>
  <si>
    <t>📽️"Non todos somos iguais señor Losada" di @MartaNovoaMarta falando da lealdade política dos socialistas cando goberna en Madrid o @PPopular ou goberna Pedro Sanchez, o @ppdegalicia apoiou sempre que os impostos de carácter ambiental non repercutan nos consumidores galegos</t>
  </si>
  <si>
    <t>pic.twitter.com/2X3adgof8S</t>
  </si>
  <si>
    <t>Santiago de Compostela, España</t>
  </si>
  <si>
    <t>Twitter oficial Grupo Parlamentario Popular no Parlamento de Galicia http://www.parlamentodegalicia.es/grupo/pp</t>
  </si>
  <si>
    <t>http://www.ppdegalicia.com</t>
  </si>
  <si>
    <t>PabloMM</t>
  </si>
  <si>
    <t>Gaditano (Spain)</t>
  </si>
  <si>
    <t>En mi hambre mando yo. pablommsb@gmail.com</t>
  </si>
  <si>
    <t>https://www.instagram.com/pablomm_1/</t>
  </si>
  <si>
    <t>YVAN LAYA</t>
  </si>
  <si>
    <t>España y Cuba acuerdan reuniones políticas anuales en las que se incluirán los derechos humanos  vía @20m</t>
  </si>
  <si>
    <t>https://www.20minutos.es/noticia/3499202/0/pedro-sanchez-viaje-cuba-reunion-diaz-canel-habana-llega/?utm_source=twitter.com&amp;utm_medium=socialshare&amp;utm_campaign=desktop</t>
  </si>
  <si>
    <t>Valencia. Venezuela</t>
  </si>
  <si>
    <t>Atrapado en mi pais. Sin parar de luchar. Fuera la Narcodictadura</t>
  </si>
  <si>
    <t>CHEMA DUESO</t>
  </si>
  <si>
    <t>Ya me veo a Pedro Sánchez escupiendo a Teresa May este finde...</t>
  </si>
  <si>
    <t>Deportista retirado. Un objetivo implica una actitud. Buscando nuevos retos que superar. Lector apasionado y escritor distraído. Me va todo sobre ruedas.</t>
  </si>
  <si>
    <t>Cuba y España dan luz verde para fortalecer los lazos bilaterales - El presidente cubano, Miguel Díaz-Canel dio la bienvenida el jueves a su par español, Pedro Sánchez, en La Habana en su visita oficial a ...</t>
  </si>
  <si>
    <t>http://bit.ly/2FMr7N0</t>
  </si>
  <si>
    <t>Assurbanipal</t>
  </si>
  <si>
    <t>Esto es lo que hace el gilipollas Pedro Sánchez del PSOE, presidente del gobierno español y 2 piedras. Dijo que los dictadores no deben tener un mausoleo, pero va a rendir pleitesía a los genocidas Fidel y Raúl Castro, vivos o muertos, y a sus títeres lameculos sucesores.</t>
  </si>
  <si>
    <t>https://pbs.twimg.com/media/DsrZXYqX4AAdVN5.jpg</t>
  </si>
  <si>
    <t>Profesional autónomo español en ejercicio. Abstenerse izquierdistas gilipollas, independentistas y estafadores antiEspaña, y demás gentuza de amplio espectro.</t>
  </si>
  <si>
    <t>Cs Alcázar de S.Juan</t>
  </si>
  <si>
    <t>#AlcazarCiudadana #AlcazarNaranja 👉 Frankestein se tambalea...Preparados para lo que venga @Cs_AlcazarSJuan ... #AhoraSíCs 🍊🇪🇸🇪🇺📌</t>
  </si>
  <si>
    <t>Alcázar de San Juan</t>
  </si>
  <si>
    <t>Perfil oficial. Partido político progresista, surgido de un movimiento de ciudadanos que quieren regenerar la política española.</t>
  </si>
  <si>
    <t>http://www.ciudadanos-cs.org</t>
  </si>
  <si>
    <t>Fernán Medrano B</t>
  </si>
  <si>
    <t>Presidente cubano Diaz-Canel recibe a su homólogo español Pedro Sánchez:  vía @SputnikMundo</t>
  </si>
  <si>
    <t>https://mundo.sputniknews.com/americalatina/201811231083625188-visita-jefe-gobierno-espana-cuba/</t>
  </si>
  <si>
    <t>Colombia</t>
  </si>
  <si>
    <t>Bloguero • Autor en Amazon y Google Books • Opinador en La Oreja Roja •</t>
  </si>
  <si>
    <t>http://fernanmedrano.wordpress.com</t>
  </si>
  <si>
    <t>Estrella</t>
  </si>
  <si>
    <t>Malestar en la bancada socialista por el retraso de Pedro Sánchez en rechazar los insultos de ERC a Josep Borrell.  Enviado desde @updayESP</t>
  </si>
  <si>
    <t>https://www.abc.es/espana/abci-malestar-bancada-socialista-retraso-sanchez-rechazar-insultos-201811222320_noticia_amp.html</t>
  </si>
  <si>
    <t>Disfrutando de una etapa serena y feliz. Siempre dispuesta a seguir con ilusión y esperanza.</t>
  </si>
  <si>
    <t>LauraMR</t>
  </si>
  <si>
    <t>Otra cosa es que pille a Pedro Sanchez en casa..... RT @elmundoes: El presidente de China hará una visita de Estado a España la próxima semana</t>
  </si>
  <si>
    <t>https://twitter.com/elmundoes/status/1065739384555753474
https://trib.al/VkhVlMY</t>
  </si>
  <si>
    <t xml:space="preserve"> Estudiante de Historia. !A por el último tramo! “Quien olvida su historia está condenado a repetirla”.- Jorge Agustín Nicolás Ruiz de Santayana.</t>
  </si>
  <si>
    <t>Carlos García</t>
  </si>
  <si>
    <t>Que alguien le diga a Pedro Sánchez que Franco ya está muerto pero el separatismo no, para que se aclare las prioridades: "No estoy haciendo la guerra a Franco para que nos retoñe en Barcelona un separatismo estúpido y pueblerino" NEGRÍN Presidente II República</t>
  </si>
  <si>
    <t>🎶Desde Santurce a Bilbao...🎶</t>
  </si>
  <si>
    <t>Gracias a todos los demócratas por el apoyo. Elorrio/Bilbao/P.Vasco/España http://youtu.be/aNxpUKW6QjI🎦 Vicesecretario @ppopular Vizcaya cgarcia@ppvasco.com📝</t>
  </si>
  <si>
    <t>http://elpais.com/diario/2011/06/19/domingo/1308455554_850215.html</t>
  </si>
  <si>
    <t>Progrestona🎗️🧕 ☭</t>
  </si>
  <si>
    <t>Según Pedro Sánchez ERC y el BILDU son “constitucionalistas” claro... y la Secta y el PAÍS no hacen...</t>
  </si>
  <si>
    <t>http://youtu.be/p4X9MiaH8UY?a</t>
  </si>
  <si>
    <t>Cule Podemita, Borde Progre Comunista. De la Repubica Separatista, la culpa es de Franco, Que te Calles Facha Islamofobobo. Feminazi con Burka🧕 a Tiempo Parcial</t>
  </si>
  <si>
    <t>https://www.youtube.com/channel/UCl-_iYBzcBZvjEoHp81MlUg</t>
  </si>
  <si>
    <t>La Marea</t>
  </si>
  <si>
    <t>El gobierno de Pedro Sánchez no quiere que Bankia sea un banco público, pero tampoco accede a su privatización "en este momento". El rescate a Bankia costó 22.000 millones de euros al Estado. Resumen #YoIBEXtigo</t>
  </si>
  <si>
    <t>https://www.yoibextigo.lamarea.com/informe/noticias/resumen-ibex/resumen-yoibextigo-nov-4/</t>
  </si>
  <si>
    <t>Periodismo con #AgendaPropia | Editado por una cooperativa | Financiado por gente comprometida como tú | Preparando el proyecto #PorTodas: http://goteo.cc/portodas</t>
  </si>
  <si>
    <t>http://www.lamarea.com</t>
  </si>
  <si>
    <t>Pedro Sánchez anuncia que España y Cuba se postulan para celebrar la próxima edición de la Copa de Asia.</t>
  </si>
  <si>
    <t>¿Qué nos ocurre en el futuro?, ¿nos volvemos gilipollas o algo parecido? Marty McFly, 1985 ⭕⚪⭕⚪</t>
  </si>
  <si>
    <t>Felix A. Hernanz🔻</t>
  </si>
  <si>
    <t>Almeria</t>
  </si>
  <si>
    <t>Joan Rangel Tarrés</t>
  </si>
  <si>
    <t>La bronca de Rufián y las alusiones de Batet a Guantánamo complica el intento del Govern de negociar con el Ejecutivo de Pedro Sánchez la puesta en libertad de los procesados</t>
  </si>
  <si>
    <t>Caldes d'Estrac</t>
  </si>
  <si>
    <t>Observant el que passa al meu voltant</t>
  </si>
  <si>
    <t>¿Qué se puede esperar de la visita del presidente del Gobierno español a Cuba?  vía @SputnikMundo</t>
  </si>
  <si>
    <t>Isidoro</t>
  </si>
  <si>
    <t>#FelizFinde Parece que Theresa May ha contestado a Pedro Sanchez. Os ofrezco su carta-respuesta en exclusiva. 👇👇</t>
  </si>
  <si>
    <t>https://pbs.twimg.com/media/DsrYTO1X4Ac5Mri.jpg</t>
  </si>
  <si>
    <t>Protegido por el franquismo y la socialdemocracia alemana traje la partitocracia y el lenguaje politiqués a España. OTAN de entrada NO y después SÍ. (Parodia)</t>
  </si>
  <si>
    <t>https://www.elcritico.org/</t>
  </si>
  <si>
    <t>ElizDelucchi</t>
  </si>
  <si>
    <t>Que se lo pidan a coletas Iglesias el es amigo de Pedro Sánchez. RT @VP_Espana: Desde #Aluche en la Ciudad de #Madrid, nuestro compañero @SContrerasB estuvo acompañando a los #venezolanos que aún esperan en las largas colas, alguna respuesta favorable por parte del Gobierno de España y de @sanchezcastejon</t>
  </si>
  <si>
    <t>https://twitter.com/VP_Espana/status/1065716537187868673</t>
  </si>
  <si>
    <t>https://pbs.twimg.com/media/DsoviQqW0AA7hMb.jpg</t>
  </si>
  <si>
    <t>Ecuador - País Atunero</t>
  </si>
  <si>
    <t>Periodista independiente. "La honestidad es un regalo muy caro, no la esperes de gente barata"- Warren Buffett.</t>
  </si>
  <si>
    <t>🇦🇷CARLOS🇧🇴TORRES🙋‍♂️</t>
  </si>
  <si>
    <t>Pedro Sánchez suma otro desplante con Gibraltar  vía @hoyextremadura</t>
  </si>
  <si>
    <t>https://www.hoy.es/internacional/union-europea/bruselas-londres-acuerdo-posbrexit-20181122115651-ntrc.html</t>
  </si>
  <si>
    <t>ciudad madero  Celina ARGENTIN</t>
  </si>
  <si>
    <t>ENCARGADO-LOCUTOR EN RADIO HORIZONTES 95.7 Y CORAZÓN DISCO 92.5 FM BUENOS AIRES ARGENTINA. SOLTERO 32 AÑOS HINCHA DE SAN LORENZO</t>
  </si>
  <si>
    <t>http://www.corazondiscofm.com</t>
  </si>
  <si>
    <t>la chuli</t>
  </si>
  <si>
    <t>José Daniel Ferrer: «Es posible que liberen a presos para decir que la visita de Pedro Sánchez a Cuba ha sido un éxito»  vía @ABCespana A que les suena esto? . La mano peluda de Zapatero y el efecto puerta deslizante (“ventilador”) que menciona Foro Penal</t>
  </si>
  <si>
    <t>Finlandia</t>
  </si>
  <si>
    <t>Carlos Ortiz de Zára</t>
  </si>
  <si>
    <t>Cómo y por qué Pedro Sánchez ha estropeado su experimento (Carlos Elordi en EL DIARIO) - Política - La casa de mi tía</t>
  </si>
  <si>
    <t>http://www.lacasademitia.es/articulo/politica/pedro-sanchez-ha-estropeado-experimento-carlos-elordi-diario/20181123062404087234.html</t>
  </si>
  <si>
    <t>Villaviciosa Asturias</t>
  </si>
  <si>
    <t>Escritor. Doctor en Filología Románica y Profesor jubilado de Civilización Francesa en la ULPGG. correo: ortizdezaratecarlos@gmail.com</t>
  </si>
  <si>
    <t>http://carlos-ortizdezarate.blogspot.com</t>
  </si>
  <si>
    <t>Porque los españoles buscaron su propia ruina poniendo a Pedro Sánchez... de verdad que a ellos heredamos lo de boludos y tarugos.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</si>
  <si>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El Independiente</t>
  </si>
  <si>
    <t>#ElIndependiente, un medio ideado, creado y controlado por periodistas. Dirigido por @garcia_abadillo. También http://facebook.com/indpcom #SomosIndependientes</t>
  </si>
  <si>
    <t>http://www.elindependiente.com</t>
  </si>
  <si>
    <t>Presidente del Gobierno español rinde honores a José Martí en La Habana:  vía @SputnikMundo</t>
  </si>
  <si>
    <t>https://mundo.sputniknews.com/americalatina/201811231083624871-visita-pedro-sanchez-cuba/</t>
  </si>
  <si>
    <t>#EspañaViva #VotaVOX #VOX #carceles SR. Pedro Sánchez RENUNCIE DIMITA YA, nos va a llevar a #guerras contra tidi el mundo incluso lis nuestros #sancheznosmata están proclamando Todos. RETWITEAR #FUERASANCHEZ</t>
  </si>
  <si>
    <t>https://pbs.twimg.com/media/DsrXJs1XQAA7BkW.jpg</t>
  </si>
  <si>
    <t>Carlos G. Miranda</t>
  </si>
  <si>
    <t>Y luego dicen que si Pedro Sánchez pacta con cualquiera... RT @CNNEE: Netflix hace un pacto con seguidores del satanismo</t>
  </si>
  <si>
    <t>https://twitter.com/cnnee/status/1065900111207825408
https://cnn.it/2DUd71Y</t>
  </si>
  <si>
    <t>https://pbs.twimg.com/media/DsrWeZjWoAAXA6q.jpg</t>
  </si>
  <si>
    <t>Tengo un gato influencer. Mi última novela https://www.planetadelibros.com/libro-el-club-de-los-lectores-criminales/274335 Mi opinión en @20m y @nytimeses.</t>
  </si>
  <si>
    <t>https://www.20minutos.es/minuteca/carlos-garcia-miranda/</t>
  </si>
  <si>
    <t>A Todo Momento</t>
  </si>
  <si>
    <t>Noticias Nacionales e Internacionales #ATodomomento #ReporteATM #EspecialATM atodomomentoweb@gmail.com</t>
  </si>
  <si>
    <t>http://atodomomento.com</t>
  </si>
  <si>
    <t>Omnia Noticias</t>
  </si>
  <si>
    <t>#MUNDO Pedro Sánchez y Miguel Díaz-Canel se reúnen en La Habana</t>
  </si>
  <si>
    <t>http://www.omnia.com.mx/noticia/88617/</t>
  </si>
  <si>
    <t>https://pbs.twimg.com/media/Dsp_8LHU0AAs8Y3.jpg</t>
  </si>
  <si>
    <t>Chihuahua</t>
  </si>
  <si>
    <t>Real Periodismo de Chihuahua</t>
  </si>
  <si>
    <t>http://www.omnia.com.mx</t>
  </si>
  <si>
    <t>AsturgaliciaNoticias</t>
  </si>
  <si>
    <t>asturias y galicia</t>
  </si>
  <si>
    <t>Noticias de Asturias y Galicia y la información de Asturias y Galicia, Gijón, Oviedo, Avilés, Lugo, Ourense, Pontevedra, Coruña, Cuencas, Oriente, Occidente</t>
  </si>
  <si>
    <t>http://asturgalicia.net</t>
  </si>
  <si>
    <t>abc_madrid</t>
  </si>
  <si>
    <t>Las promesas para Madrid que Pedro Sánchez ha hecho a Garrido</t>
  </si>
  <si>
    <t>http://madrid.abc.es/c64ot1</t>
  </si>
  <si>
    <t>Toda la información de la Comunidad de Madrid en @abc_es</t>
  </si>
  <si>
    <t>http://www.abc.es/madrid/madrid.asp</t>
  </si>
  <si>
    <t>No a Tot</t>
  </si>
  <si>
    <t>Bon dia, Pedro Sánchez. GIBRALTAR IS BRITISH. RT @DefenceHQ: 🗞 Defence Secretary Gavin Williamson has announced that the UK is set to double its number of world-beating F-35 stealth jets after ordering 17 more in a multi-million pound contract signed to see UK own 35 jets by end of 2022. @thef35⚡️Read more:</t>
  </si>
  <si>
    <t>https://twitter.com/DefenceHQ/status/1063026619474960384
http://ow.ly/vwKN30mCTDH</t>
  </si>
  <si>
    <t>https://pbs.twimg.com/media/DsChE54XcAA2j5X.jpg</t>
  </si>
  <si>
    <t>República de Catalunya</t>
  </si>
  <si>
    <t>News from #Catalonia.</t>
  </si>
  <si>
    <t>Atilio</t>
  </si>
  <si>
    <t>Presidentes de Cuba y España acuerdan estrechar relaciones bilaterales | Spanish.xinhuanet.comhttp://spanish.xinhuanet.com/2018-11/23/c_137626347.htm Pedro Sánchez es el tercer jefe de gobierno que visita la isla.</t>
  </si>
  <si>
    <t>Comunicador Social,(journalist) Corresponsal de Prensa Analista Político</t>
  </si>
  <si>
    <t>dxt campeón</t>
  </si>
  <si>
    <t>Pedro Sánchez se resiente y no estará ante el Osasuna</t>
  </si>
  <si>
    <t>http://dlvr.it/Qrw8pf</t>
  </si>
  <si>
    <t>https://pbs.twimg.com/media/DsrVRzuUwAAla46.jpg</t>
  </si>
  <si>
    <t>A Coruña</t>
  </si>
  <si>
    <t>Primer Diario Deportivo de Galicia.</t>
  </si>
  <si>
    <t>http://www.dxtcampeon.com</t>
  </si>
  <si>
    <t>EFEnoticias España</t>
  </si>
  <si>
    <t>Pablo Iglesias dice a Pedro Sánchez que para defender a la gente trabajadora del campo de Gibraltar tendrá su apoyo pero "para patriotismos extraños, no"</t>
  </si>
  <si>
    <t>Toda la actualidad informativa de España, cuenta oficial para España de @EFEnoticias Otros perfiles en http://bit.ly/AgenciaEFE</t>
  </si>
  <si>
    <t>http://www.efe.com/</t>
  </si>
  <si>
    <t>X revolutione</t>
  </si>
  <si>
    <t>Theresa May advierte a Pedro Sánchez de que protegerá la "soberanía británica" de Gibraltar</t>
  </si>
  <si>
    <t>Combatiendo a los medios de desinformación masiva.</t>
  </si>
  <si>
    <t>http://revolutione.eu</t>
  </si>
  <si>
    <t>Situaciones Difíciles</t>
  </si>
  <si>
    <t>El sadosanchismo</t>
  </si>
  <si>
    <t>http://shr.gs/Y0Q62Jl</t>
  </si>
  <si>
    <t xml:space="preserve">Zaragoza </t>
  </si>
  <si>
    <t>🇫🇷Las trampas del poder son infinitas y las mentiras más aún. 🇪🇸 #SanchezDimision Votaré @VOX_ES</t>
  </si>
  <si>
    <t>https://situacionesdficiles.blog/</t>
  </si>
  <si>
    <t>JOSE ANTONIO</t>
  </si>
  <si>
    <t>Policías denuncian la regularización "encubierta" de solicitantes de asilo PEDRO SANCHEZ Y PSOE JUNTO A PODEMOS ORDENA A LA POLICIA REGULARIZAR LOS INMIGRANTES CON MAS EFECTO LLAMADA MUY BUEN ARTICULO INFORMANDO D LA IRRESPONSABILIDAD GOB  vía @elmundoes</t>
  </si>
  <si>
    <t>https://www.elmundo.es/madrid/2018/11/23/5bf7067fca474131158b45ed.html</t>
  </si>
  <si>
    <t>https://twitter.com/sanchezcastejon/status/1065874501395714048</t>
  </si>
  <si>
    <t>https://pbs.twimg.com/media/Dsq-mcbXoAI_L_u.jpg</t>
  </si>
  <si>
    <t>Hoy la clase política, no tiene ni clase ni políticos, desconocen la lealtad. La bandera e himno d España representan las libertades incluso para los mediocres</t>
  </si>
  <si>
    <t>Carmen Prados</t>
  </si>
  <si>
    <t>#Andalucia Pedro Sánchez volverá a participar el martes 27 en la campaña en un mitin en Marbella junto a Susana Díaz</t>
  </si>
  <si>
    <t>https://ift.tt/2BsgdrG</t>
  </si>
  <si>
    <t>La Roda, Pedrera, Sevilla</t>
  </si>
  <si>
    <t>📲 #SoyPeriodista 👩🏽‍💻 #Journalist | #RedesSociales #MarketingDigital | #MarcaPersonal | #Comunicación y 50% en @casatconmigo 👰🏼 y @corazonAndaluci 🤘🏼</t>
  </si>
  <si>
    <t>http://www.carmenprados.com</t>
  </si>
  <si>
    <t>#RedDePeriodistas</t>
  </si>
  <si>
    <t>🔐 Yoani Sánchez: “La visita de Pedro Sánchez a Cuba es una trampa” #RedDePeriodistas @yoanisanchez VÍDEO - España y Cuba La Habana</t>
  </si>
  <si>
    <t>http://ow.ly/JCbD30mISnX</t>
  </si>
  <si>
    <t>¿Eres #periodista? Aquí hablamos y debatimos de #periodismo y del futuro de los medios: Hazte miembro de nuestra red http://RedDePeriodistas.com/hazte-miembro</t>
  </si>
  <si>
    <t>http://RedDePeriodistas.com</t>
  </si>
  <si>
    <t>JF. Pumarol</t>
  </si>
  <si>
    <t>Mientras en España deciden la suerte de los restos del dictador franco prohiben y critican el franquismo, el representante del gobierno de España Pedro Sánchez se congratula y habré negociaciones con la dictadura de Cuba, así es la doble moral #LaNoche24h</t>
  </si>
  <si>
    <t>http://newsglobaldaily24hours.blogspot.com</t>
  </si>
  <si>
    <t>Quini Candela</t>
  </si>
  <si>
    <t>Pedro Sánchez y Jean-Claude Juncker Pedro Sánchez y Jean-Claude Juncker – Isabel B Permuy Sánchez pierde el crédito económico en Europa</t>
  </si>
  <si>
    <t>http://www.elobservadorcritico.com/2018/11/22/pedro-sanchez-y-jean-claude-juncker-pedro-sanchez-y-jean-claude-juncker-isabel-b-permuy-sanchez-pierde-el-credito-economico-en-europa/</t>
  </si>
  <si>
    <t>https://pbs.twimg.com/media/DsrUN2uUcAYXjC-.jpg</t>
  </si>
  <si>
    <t>Begoña Carrasco</t>
  </si>
  <si>
    <t>👨‍💻✖️👩‍💻 Para Pedro Sánchez los autónomos son sus ENEMIGOS. Con medidas como ésta, se ralentiza la economía. Se ataca a la creación de riqueza y se ataca a los que hacen día tras día el esfuerzo por levantar la persiana.</t>
  </si>
  <si>
    <t>https://www.elperiodicomediterraneo.com/noticias/economia/cuota-minima-autonomos-subira-5-euros-mes-2019_1186253.html</t>
  </si>
  <si>
    <t>Castellón de la Plana</t>
  </si>
  <si>
    <t>Madre. Castellonense. Portavoz del @GrupoPopularCS en el @AjuntCastello. Trabajando por el Castellón que merecemos</t>
  </si>
  <si>
    <t>CUBAnoti</t>
  </si>
  <si>
    <t>Pedro Sánchez llega a La Habana para su encuentro con Díaz-Canel</t>
  </si>
  <si>
    <t>https://cubanoti.com/2018/11/23/pedro-sanchez-llega-a-la-habana-para-su-encuentro-con-diaz-canel/</t>
  </si>
  <si>
    <t>Iliana DFernández</t>
  </si>
  <si>
    <t>.@DiazCanelB @sanchezcastejon @CasaReal @pablocasado_ @Albert_Rivera Cuando estuvo el Señor Pedro Sánchez en New York le pedimos que fuera nuestro @NelsonMandela como antes habíamos esperado que fuera el Señor @BarackObama @NYCFirstLady @NYCMayor</t>
  </si>
  <si>
    <t>Joseito Fernández GrandFather Guajira Guantanamera Soprano Voice @bmi @TimesUPNOw #Adoption #CubanMoms. @FAO. @omctorg @Anticorruption. #VZLA @JoelOsteen #JESUS</t>
  </si>
  <si>
    <t>http://www.youtube.com/sila661</t>
  </si>
  <si>
    <t>Darío Mateos</t>
  </si>
  <si>
    <t>Pedro Sánchez ante Europa por Gibraltar: “Un acuerdo sin los 27 no es un acuerdo político”  Vía @Contrainfo</t>
  </si>
  <si>
    <t>https://contrainformacion.es/espana-se-planta-ante-europa-por-gibraltar-un-acuerdo-sin-los-27-no-es-un-acuerdo-politico/</t>
  </si>
  <si>
    <t>Entre Granada y Galicia</t>
  </si>
  <si>
    <t>Soy un Terminator, pero buena gente. Todo metal blandito, de izquierda, republicano, feminista y ateo.</t>
  </si>
  <si>
    <t>Mientras en España deciden la suerte de los restos del dictador franco prohiben y critican el franquismo, el representante del gobierno de España Pedro Sánchez se congratula y habré negociaciones con la dictadura de Cuba, así es la doble moral</t>
  </si>
  <si>
    <t>Pablo Haro Urquízar 🇪🇺</t>
  </si>
  <si>
    <t>Pedro Sánchez está desatado con lo de Gibraltar</t>
  </si>
  <si>
    <t>pic.twitter.com/xvrcLfkF6o</t>
  </si>
  <si>
    <t>Breno, República Checa</t>
  </si>
  <si>
    <t>Lo que sea que haya hecho lo hice por los loles. Cobro el PER, del IBEX o de Soros dependiendo de tus prejuicios.</t>
  </si>
  <si>
    <t>https://www.instagram.com/pabloharour/</t>
  </si>
  <si>
    <t>François Monti</t>
  </si>
  <si>
    <t>Pedro Sánchez llega a La Habana 84 años tarde: en 1934, cortabas este anuncio, lo presentabas en El Floridita y... te cobraban tan solo el 25% del precio normal del cóctel (con base de... Sloe gin).</t>
  </si>
  <si>
    <t>Alberto Sanz Blanco</t>
  </si>
  <si>
    <t>https://pbs.twimg.com/media/DsrSNaqX4AA_P1x.jpg</t>
  </si>
  <si>
    <t>Periodista y analista político. Crítico artístico en @canalhablamos. Informado @telediario_tve opinado @abc_es Antes @Inforadio_UCM Sígueme y sabrás qué pienso</t>
  </si>
  <si>
    <t>http://albertosanzblanco.wordpress.com</t>
  </si>
  <si>
    <t>Drinks for a living. Author of ‘El Gran Libro del Vermut’, '101 Cocktails to Try Before You Die' and 'Prohibitions'</t>
  </si>
  <si>
    <t>http://www.francoismonti.com</t>
  </si>
  <si>
    <t>Teresa García Sena</t>
  </si>
  <si>
    <t>Elecciones europeas: Sánchez contra los barones II: la apuesta por el superdomingo augura tensión en el PSOE</t>
  </si>
  <si>
    <t>Candidata del PP Valencia al Congreso</t>
  </si>
  <si>
    <t>Raul Sanchez Flores</t>
  </si>
  <si>
    <t>Pedro Sánchez ampliará por decreto en enero los permisos de paternidad: Aprobará alcanzar las ocho semanas en 2019  vía @ecd_</t>
  </si>
  <si>
    <t>https://www.elconfidencialdigital.com/articulo/dinero/pedro-sanchez-ampliara-decreto-enero-permisos-paternidad/20181121190407118402.html</t>
  </si>
  <si>
    <t>Experto en #PoliticasFamiliares. Impulsando el movimiento de #FamiliasNumerosas en Cataluña, España y Europa. La revolución de la #familia, clave del siglo 21</t>
  </si>
  <si>
    <t>http://about.me/raul.sanchez</t>
  </si>
  <si>
    <t>virpb</t>
  </si>
  <si>
    <t>Pablo Iglesias y Pedro Sánchez. RT @LaFallaras: Si no condenas en fascismo, ¿qué eres? Si no condenas una dictadura, ¿qué eres? Si no condenas un régimen que asesinó a miles y miles de personas y torturó a otras tantas, ¿qué eres?</t>
  </si>
  <si>
    <t>https://twitter.com/lafallaras/status/1065297288761876486
https://elpais.com/politica/2018/11/21/actualidad/1542812383_600299.html</t>
  </si>
  <si>
    <t>Outlier</t>
  </si>
  <si>
    <t>Concentrado Noticias</t>
  </si>
  <si>
    <t>https://concentradonoticias.com/pedro-sanchez-se-reune-con-diaz-canel-y-firman-memorandos/</t>
  </si>
  <si>
    <t>https://pbs.twimg.com/media/DsrSBcLUUAADdxr.jpg</t>
  </si>
  <si>
    <t>Colima, México</t>
  </si>
  <si>
    <t>http://www.concentradonoticias.com/</t>
  </si>
  <si>
    <t>Suárez voló a Cuba en un DC-8; Aznar se avergonzaba de unos vetustos Boeing 707; y Sánchez le ha cogido el gusto a los Falcon y Airbus 310 del Grupo 45.</t>
  </si>
  <si>
    <t>http://www.minrex.gob.cu/</t>
  </si>
  <si>
    <t>☁️ ¡#FelizViernes! 👉 ¿Has escuchado el término; 'pacto de los indultos'? 👉 Es inmoral que Pedro Sánchez quiera dar indultos a cambio de apoyo para mantenerse un cuarto de hora más en La Moncloa ✋️ #STOPIndultos #EleccionesYa porque aseveró que las convocaría.</t>
  </si>
  <si>
    <t>https://pbs.twimg.com/media/DsrRkwAXQAAWH-Z.jpg</t>
  </si>
  <si>
    <t>🔴 #ÚltimaHora Torra desafía de nuevo a Pedro Sánchez pidiendo a @AlfredBosch que se extralimite en sus funciones de conseller de exteriores y ejerza como si fuese un Ministro ‼😠👇</t>
  </si>
  <si>
    <t>https://cronicaglobal.elespanol.com/politica/torra-pide-bosch-ministro-exteriores_201733_102.html</t>
  </si>
  <si>
    <t>pic.twitter.com/4vyXSyHq58</t>
  </si>
  <si>
    <t>Alicante</t>
  </si>
  <si>
    <t>Nandito</t>
  </si>
  <si>
    <t>Si el próximo domingo en el @EUCouncil el acuerdo del Brexit no reconoce que la situación de Gibraltar debe negociarse directamente entre España y el Reino Unido, este Gobierno no lo aceptará.. Dicho en su página de tweet por Pedro Sánchez.</t>
  </si>
  <si>
    <t>Geógrafo. Footing, ópera, viajes , toros, amistad y vinitos, relojes y fotografía.</t>
  </si>
  <si>
    <t>Elperroverde</t>
  </si>
  <si>
    <t>https://www.elconfidencial.com/amp/espana/2018-11-23/pedro-sanchez-adelanto-electoral-superdomingo-barones_1663322/#referrer=https%3A%2F%2Fwww.google.com&amp;amp_tf=De%20%251%24s</t>
  </si>
  <si>
    <t>San Cristóbal de la Laguna, Is</t>
  </si>
  <si>
    <t>Aficionado a los perros, al vino, running, tecnología móvil y ordenadores, motos y más of course.</t>
  </si>
  <si>
    <t>http://elperroverdeverde.blogspot.com.es/?m=1</t>
  </si>
  <si>
    <t>José Daniel Ferrer: «Es posible que liberen a presos para decir que la visita de Pedro Sánchez a Cuba ha sido un éxito»  vía @abc_es</t>
  </si>
  <si>
    <t>https://www.abc.es/espana/abci-jose-daniel-ferrer-posible-liberen-presos-para-decir-visita-pedro-sanchez-cuba-sido-exito-201811230406_noticia.html</t>
  </si>
  <si>
    <t>caletero</t>
  </si>
  <si>
    <t>Mientras España se está jugando el futuro de Gibraltar en Europa, el señor Pedro Sánchez ocupa de la Moncloa, se está reuniendo con el dictador comunista cubano. Elecciones ja.</t>
  </si>
  <si>
    <t>Papa socialista ✌</t>
  </si>
  <si>
    <t>Nunca pensé que le iba like a un tweet de pedro sanchez 😆 RT @sanchezcastejon: Tras mi conversación con Theresa May, nuestras posiciones permanecen lejanas. Mi Gobierno siempre defenderá los intereses de España. Si no hay cambios, vetaremos el Brexit.</t>
  </si>
  <si>
    <t>Peronia</t>
  </si>
  <si>
    <t>◢◤#FCB ★ Digo lo que pienso. Sino te gusta Unfollow Padre! No defiendo Korruptos Speak a bit English too</t>
  </si>
  <si>
    <t>PP Ciudad Real 🇪🇸</t>
  </si>
  <si>
    <t>https://okdiario.com/espana/2018/11/21/sanchez-mando-coche-oficial-vacio-valladolid-hacer-8-kms-del-aeropuerto-ciudad-3377374#.W_fCQGkV3Hg.twitter</t>
  </si>
  <si>
    <t>💙Twitter oficial del PP de Ciudad Real Gracias por participar y por ayudar a construir nuestro proyecto político. Nuestro Presidente Provincial @PacoCanizares</t>
  </si>
  <si>
    <t>http://www.ppciudadreal.es/</t>
  </si>
  <si>
    <t>luzmarina otaola</t>
  </si>
  <si>
    <t>http://www.youtube.com/watch?v=sVG08pYrifU
https://www.veoinfo.com/pedro-sanchez-visita-cuba-con-el-objetivo-de-restaurar-la-relacion-politica-y-economica/</t>
  </si>
  <si>
    <t>ESTRATOSFERA</t>
  </si>
  <si>
    <t>CIUDADANA DEL MUNDO DEFENSORA DE LAS DEMOCRACIAS ANTICOMUNISTA RADICAL VIAJERA INCANSABLE! POLITICAMENTE INCORRECTA</t>
  </si>
  <si>
    <t>El pequeño Lebowsky</t>
  </si>
  <si>
    <t>España y Cuba. Buff van a poner a parir a Pedro Sanchez. ¿Como se le habrá ocurrido...</t>
  </si>
  <si>
    <t>https://pbs.twimg.com/media/DsrP1ByWoAA73o9.jpg</t>
  </si>
  <si>
    <t>Iruña - Pamplona</t>
  </si>
  <si>
    <t>Antitaurino antimonarquico, culé y Osasunista. Vamos, lo que la #caverna mediatica califica como progre #Estamosjodidos</t>
  </si>
  <si>
    <t>El mitin de Pedro Sánchez y Susana Díaz en Marbella cambia de día. Más info ➡️</t>
  </si>
  <si>
    <t>http://www.marbella24horas.es/local/el-mitin-de-pedro-sanchez-y-susana-diaz-en-marbella-cambia-de-dia-24029</t>
  </si>
  <si>
    <t>Alberto Ravell</t>
  </si>
  <si>
    <t>España y Cuba acuerdan reuniones políticas anuales en las que se incluirán los derechos humanos  via @20m</t>
  </si>
  <si>
    <t>Periodista venezolano. http://instagram.com/albertofedericoravell</t>
  </si>
  <si>
    <t>Notimérica</t>
  </si>
  <si>
    <t>https://bit.ly/2KpHaPN</t>
  </si>
  <si>
    <t>Bienvenidos al Twitter oficial de @notimerica, el portal de @EuropaPress que cubre la actualidad iberoamericana. Contacto: contacto@notimerica.com</t>
  </si>
  <si>
    <t>http://www.notimerica.com</t>
  </si>
  <si>
    <t>Rodrigo Gómez García</t>
  </si>
  <si>
    <t>Diputado de @CsCongreso por Zaragoza. Licenciado en Derecho y Economía. Abogado.</t>
  </si>
  <si>
    <t>http://aragon.ciudadanos-cs.org</t>
  </si>
  <si>
    <t>Sevilla 24 horas</t>
  </si>
  <si>
    <t>Verónica Pérez, autoproclamada “Máxima autoridad” del PSOE durante el golpe susánida, lleva 19 años viviendo de la política  Durante el golpe susánida a Pedro Sánchez de octubre de 2016 que acabó encumbrando a Mariano Rajoy como presidente y partiendo al…</t>
  </si>
  <si>
    <t>https://ift.tt/2BtwLQh</t>
  </si>
  <si>
    <t>Diario digital con noticias de Sevilla, Andalucía y el mundo</t>
  </si>
  <si>
    <t>http://www.sevilla24horas.com</t>
  </si>
  <si>
    <t>El Gobierno sigue dispuesto a vetar el acuerdo del Brexit y ve impensable que se apruebe sin consenso  El presidente del Gobierno, Pedro Sánchez está decidido a vetar el acuerdo para el Brexit que el Consejo Europeo debe adoptar este fin de semana, puest…</t>
  </si>
  <si>
    <t>https://ift.tt/2KpvVqm</t>
  </si>
  <si>
    <t>@RadarMaracay</t>
  </si>
  <si>
    <t>Cuba y España firman acuerdos bilaterales</t>
  </si>
  <si>
    <t>https://ift.tt/2OY4OmY</t>
  </si>
  <si>
    <t>Publicidad para tus productos</t>
  </si>
  <si>
    <t>Economía Digital Ideas</t>
  </si>
  <si>
    <t>El ejecutivo de Pedro Sánchez presume ser un firme defensor de la separación de poderes, a la vez que comete injerencias en el poder judicial  Artículo de @EtxarriTonia</t>
  </si>
  <si>
    <t>https://ideas.economiadigital.es/tonia-etxarri/los-tentaculos-del-gobierno_590339_102.html?utm_source=Twitter&amp;utm_medium=Social</t>
  </si>
  <si>
    <t>Diversidad de ideas, de visiones, de autores: así analizamos la actualidad. Editado por @economiaED_</t>
  </si>
  <si>
    <t>https://ideas.economiadigital.es/</t>
  </si>
  <si>
    <t>Oscar Selton</t>
  </si>
  <si>
    <t>La hipocresía de la izquierda está en su ADN, da igual Pedro Sánchez, UGT, Leticia Dorotea, etc etc RT @JosPastr:</t>
  </si>
  <si>
    <t>https://twitter.com/JosPastr/status/1065880709095727104</t>
  </si>
  <si>
    <t>https://pbs.twimg.com/media/DsrE1YRWwAIAOTC.jpg</t>
  </si>
  <si>
    <t>Cachito 🇪🇸🇪🇸🇪🇸</t>
  </si>
  <si>
    <t>Hay muy pocas cosas realmente importantes, pero alguna hay.</t>
  </si>
  <si>
    <t>Que soy cabrona (&amp; muchooo), exigente, directa, terca, digo lo que pienso, imprudente, a veces intolerante. 🇪🇸🇪🇸🇪🇸</t>
  </si>
  <si>
    <t>goslum (155, article de 1ª necessitat a Catalunya)</t>
  </si>
  <si>
    <t>ÚLTIMA HORA: "Pedro Sánchez no se ha reunido con la disidencia cubana porque es presidente del gobierno. Si hubiera viajado hace 7 meses como secretario general del PSOE lo habría hecho sin problemas. Dejen de enredar", ha comentado Carmen Calvo.</t>
  </si>
  <si>
    <t>Toda la vida para jugar' es una novela que deberían leer los niños con la supervisión de sus padres. O puede que al revés. (Ya en Amazon)</t>
  </si>
  <si>
    <t>Fidel Derivet Vidal</t>
  </si>
  <si>
    <t>Díaz-Canel y Pedro Sánchez encabezan firma de memorandos (+Fotos)</t>
  </si>
  <si>
    <t>http://www.prensa-latina.cu/index.php?o=rn&amp;id=230921&amp;SEO=diaz-canel-y-pedro-sanchez-encabezan-firma-de-memorandos-fotos</t>
  </si>
  <si>
    <t>Cónsul de Cuba en Milán. Industrialista, seguidor de las causas justas. Amante 100% de la Revolucion Cubana.</t>
  </si>
  <si>
    <t>DrWho</t>
  </si>
  <si>
    <t>Javier Barreña</t>
  </si>
  <si>
    <t>Pedro Sánchez sigue troceando España gracias a sus pactos oscuros con los separatistas. #EleccionesYa</t>
  </si>
  <si>
    <t>En la TARDIS</t>
  </si>
  <si>
    <t>Taken by my sunshine and goddess @TheImpcibleGirl . I travel with my crazy daughter @Jenny_DoctorWHO In my free time, I'm @James_Bond_SP and Skynet</t>
  </si>
  <si>
    <t>https://instagram.com/doctorwhoeldoctor/</t>
  </si>
  <si>
    <t>https://pbs.twimg.com/media/DsrN8o4XgAASz7L.jpg</t>
  </si>
  <si>
    <t>Nou Barris, Barcelona, España</t>
  </si>
  <si>
    <t>Lo importante en la vida es sentirse orgulloso de los que te rodean y de uno mismo. Para todo lo demás está twitter. RT no significa estar de acuerdo.</t>
  </si>
  <si>
    <t>https://javierbarrenablog.wordpress.com/</t>
  </si>
  <si>
    <t>#IIIRepública</t>
  </si>
  <si>
    <t>España y Cuba, Pedro Sánchez con las dictaduras no se negocia.</t>
  </si>
  <si>
    <t>Terra on sento els seus cants Parlar amb diverses llengues Amb diferentes costums Sota una unió Sota un destí.</t>
  </si>
  <si>
    <t>St Colman's Spanish</t>
  </si>
  <si>
    <t>España y Cuba acuerdan reuniones políticas anuales en las que se incluirán los derechos humanos</t>
  </si>
  <si>
    <t>https://www.20minutos.es/noticia/3499202/0/pedro-sanchez-viaje-cuba-reunion-diaz-canel-habana-llega?utm_source=twitter.com&amp;utm_medium=socialshare&amp;utm_campaign=mobile_app</t>
  </si>
  <si>
    <t>Revision tips, essential reading and important news from the Spanish department St. Colman's College, Newry. We are responsible for our own posts only.</t>
  </si>
  <si>
    <t>Sánchez asegura que el Gobierno "vetará" el acuerdo del Brexit si no defiende "los intereses de España" sobre Gibraltar</t>
  </si>
  <si>
    <t>https://ift.tt/2FDj59s</t>
  </si>
  <si>
    <t>Tere</t>
  </si>
  <si>
    <t>Georges</t>
  </si>
  <si>
    <t>Cuba : visite historique du Premier ministre espagnol, Pedro Sanchez</t>
  </si>
  <si>
    <t>https://fr.euronews.com/2018/11/23/cuba-visite-historique-de-pedro-sanchez</t>
  </si>
  <si>
    <t>Montréal</t>
  </si>
  <si>
    <t>Once again</t>
  </si>
  <si>
    <t>Los mismos productores de "Daremos prioridad a los Bancos", traen a sus pantallas el "Vetador Hidalgo Don Quixote de la Mancha". Con Pedro Sánchez en el papel estelar y Marco Aguiriano como Sancho.</t>
  </si>
  <si>
    <t>https://pbs.twimg.com/media/DsrLpIiXcAAwbQg.jpg</t>
  </si>
  <si>
    <t>Ganimedes</t>
  </si>
  <si>
    <t>No sé cuantas veces he empezado desde 0</t>
  </si>
  <si>
    <t>José A. Llorente</t>
  </si>
  <si>
    <t>Partido Popular 🇪🇸</t>
  </si>
  <si>
    <t>▶ @zoidoJI: "El veto hay que mantenerlo. Pedro Sánchez está de viaje en Cuba en lugar de estar siguiendo muy de cerca los intereses de España en la negociación del Brexit". #LosDesayunos</t>
  </si>
  <si>
    <t>Madrid - New York</t>
  </si>
  <si>
    <t>Fundador de @llorenteycuenca, 1a consultoría de comunicación de España y América Latina. 600 profesionales 16 oficinas @FundacionLLYC http://www.amo-global.com</t>
  </si>
  <si>
    <t>http://www.joseantoniollorente.com</t>
  </si>
  <si>
    <t>Twitter del principal partido político de España. Ayúdanos a construir un país mejor. Participa en nuestra apasionante tarea.</t>
  </si>
  <si>
    <t>http://www.pp.es/</t>
  </si>
  <si>
    <t>Radar Apure</t>
  </si>
  <si>
    <t>San Fernando De Apure</t>
  </si>
  <si>
    <t>Creado para ser referencia en materia de publicidad digital en el área del Estado Apure. Experiencia a su alcance para proyectar ventas</t>
  </si>
  <si>
    <t>La patada de Pedro Sánchez en el culo de los solicitantes de asilo: Vuelva en diciembre de 2020</t>
  </si>
  <si>
    <t>https://www.periodistadigital.com/america/sociedad/2018/11/23/patada-por-el-culo-pedro-sanchez-solicitantes-asilo-vuelva-diciembre-2020.shtml</t>
  </si>
  <si>
    <t>laverdad_es</t>
  </si>
  <si>
    <t>La visita, a la que ya trató de allanar el camino el Gobierno del PP, quedó en el aire ante los nulos avances democráticos del régimen cubano</t>
  </si>
  <si>
    <t>http://ow.ly/i3nw30mIP1c</t>
  </si>
  <si>
    <t>Región de Murcia</t>
  </si>
  <si>
    <t>Edición digital del Diario La Verdad de Murcia, con información actualizada al minuto las 24 horas al día con noticias, imágenes y contenidos audiovisuales.</t>
  </si>
  <si>
    <t>http://www.laverdad.es</t>
  </si>
  <si>
    <t>Pedro Sánchez y el presidente de Cuba Díaz Canel se comprometen a hablar cada año sobre Derechos Humanos</t>
  </si>
  <si>
    <t>http://atres.red/qn9ti1</t>
  </si>
  <si>
    <t>Marta Zenner</t>
  </si>
  <si>
    <t>Así es la agenda de 24 horas de Pedro Sánchez en Cuba</t>
  </si>
  <si>
    <t>https://lnkd.in/gpy3S_g
https://lnkd.in/gz8yzuG</t>
  </si>
  <si>
    <t>Europa Press Informativos Si tengo un sueño, me lo como entero Entre Madrid y Granada</t>
  </si>
  <si>
    <t>Lorenzo Pérez Blanes 🇪🇸</t>
  </si>
  <si>
    <t>Me ha gustado un vídeo de @YouTube ( - El verdadero Pedro Sánchez - InfoVlogger).</t>
  </si>
  <si>
    <t>http://youtu.be/OBEluUwFIu0?a</t>
  </si>
  <si>
    <t>"En una época de engaño universal, decir la verdad es un acto revolucionario."- George Orwell</t>
  </si>
  <si>
    <t>laquintacolumna</t>
  </si>
  <si>
    <t>Desde Baloo en "Aventureros del aire" que no veía a alguien querer a un avión como Pedro Sánchez quiere al suyo.</t>
  </si>
  <si>
    <t>Asturias</t>
  </si>
  <si>
    <t>La vida es lo que pasa mientras pierdes el tiempo escribiendo un tuit</t>
  </si>
  <si>
    <t>JMMCueva</t>
  </si>
  <si>
    <t>Bofetón de Pedro Sánchez a Trump: se aloja en Cuba en un hotel de Iberostar sancionado por EEUU.  Eso es defender a España y sus intereses!!</t>
  </si>
  <si>
    <t>https://www.elconfidencialdigital.com/articulo/dinero/bofeton-sanchez-trump-aloja-cuba-hotel-iberostar-sancionado-eeuu/20181122182712118455.html</t>
  </si>
  <si>
    <t>Oviedo, España</t>
  </si>
  <si>
    <t>La casualidad no existe</t>
  </si>
  <si>
    <t>Luis Castilla</t>
  </si>
  <si>
    <t>El 'okupa' Pedro Sánchez también hace el ridículo en Gibraltar  vía @Periodistadigit</t>
  </si>
  <si>
    <t>https://www.periodistadigital.com/opinion/politica/2018/11/23/el-okupa-pedro-sanchez-tambien-hace-el-ridiculo-en-gibraltar.shtml</t>
  </si>
  <si>
    <t>Economista Liberal, demócrata y patriota. Jubilado de banca, me dedico al cuidado de mis rosas, que aprendí en Inglaterra.</t>
  </si>
  <si>
    <t>jose m mangas</t>
  </si>
  <si>
    <t>otro y van....oportunismo de Pedro Sanchez la guerra civil del 36 hizo estragos en los ferroviarios....pero en Madrid poco...hizo estragos en Arcos de Jalon y en los nucleos ferroviarios....Por que aqui ...por que ahora ..PURA IMAGEN COMERCIAL</t>
  </si>
  <si>
    <t>https://pbs.twimg.com/media/DsrLSAzXQAIMSvZ.jpg</t>
  </si>
  <si>
    <t>ferroviario en todos los sentidos. Ciclista los fines de semana</t>
  </si>
  <si>
    <t>https://okdiario.com/espana/2018/11/21/sanchez-mando-coche-oficial-vacio-valladolid-hacer-8-kms-del-aeropuerto-ciudad-3377374/amp</t>
  </si>
  <si>
    <t>CeNews</t>
  </si>
  <si>
    <t>Pedro Sánchez busca impulsar las relaciones con Cuba y propone a Díaz-Canel la visita de los Reyes a la isla en 2019</t>
  </si>
  <si>
    <t>https://cenews.es/pedro-sanchez-busca-impulsar-las-relaciones-con-cuba/</t>
  </si>
  <si>
    <t>https://pbs.twimg.com/media/DsrLODkU4AA-tp8.jpg</t>
  </si>
  <si>
    <t>españa</t>
  </si>
  <si>
    <t>Periódico digital en español donde encontrarás todas las noticias de actualidad y artículos de todo tipo.</t>
  </si>
  <si>
    <t>Albert #PaísValencià</t>
  </si>
  <si>
    <t>Como no podía ser de otro modo, Pedro Sánchez acude a Cuba para rendir honores a su modelo de Estado dictatorial, podemita y bolivariano. Perdón, éstas no eran las imágenes. España y Cuba.</t>
  </si>
  <si>
    <t>https://pbs.twimg.com/media/DsrLGEVX4AAyQJ9.jpg</t>
  </si>
  <si>
    <t>València</t>
  </si>
  <si>
    <t>Psicología aldeana. ¿El café? Con poco azúcar. Vamos a por la Tercera.</t>
  </si>
  <si>
    <t>Pilar Morillo Rocha</t>
  </si>
  <si>
    <t>El Gobierno socialista de Pedro Sánchez comparece todas las semanas en el Congreso de los Diputados por primera vez en España y a petición propia Y es por : #GobiernoDeLaDignidad #ElPSOEDaSeguridad #RazonesParaConfiar RT @pmusifloren: @KilianCD @ArredonMari @PPopular Pero en qué cabeza cabe que podía ser de otra manera? El Parlamento no puede ser suspedido en sus funciones (y la función de control al Gobierno es una de ellas y esencial) a no ser que se disuelvan las Cortes</t>
  </si>
  <si>
    <t>https://twitter.com/pmusifloren/status/1065837017735602177</t>
  </si>
  <si>
    <t>Hª Arte, Urbanista, CC Europeas, Investigadora Conservación Ciudades Históricas. NO es NO. La Justicia, la Igualdad, la Bondad y la Belleza hacen un Mundo Mejor</t>
  </si>
  <si>
    <t>http://www.facebook.com/pilarmorillorocha</t>
  </si>
  <si>
    <t>Javier González🇪🇸🇪🇺 🇻🇦👨‍⚖️👨‍👩‍👧‍👧✝️</t>
  </si>
  <si>
    <t>Pedro Sánchez pone a un independentista al cargo del Puerto De Tarragona; JOSE MARIA CRUSET DOMENECH.</t>
  </si>
  <si>
    <t>https://www.boe.es/diario_boe/xml.php?id=BOE-A-2018-15975</t>
  </si>
  <si>
    <t>Radio Ciudad del Mar</t>
  </si>
  <si>
    <t>Naci en Lleida, vivo Zaragoza,</t>
  </si>
  <si>
    <t>¡SOLO LOS SABIOS SOMOS SENCILLOS! ". .puedo no estar de acuerdo con tus ideas, pero ten por seguro que lucharía hasta la muerte para que te puedas expresar.</t>
  </si>
  <si>
    <t>Europa Press TV</t>
  </si>
  <si>
    <t>https://bit.ly/2S3B4Ho</t>
  </si>
  <si>
    <t>pic.twitter.com/qZGoYow8bD</t>
  </si>
  <si>
    <t>Cienfuegos, Cuba</t>
  </si>
  <si>
    <t>Emisora de radio de la provincia de Cienfuegos,Cuba. Transmite 24 horas al aire. Sitio web en: http://www.rcm.cu,</t>
  </si>
  <si>
    <t>http://www.rcm.cu</t>
  </si>
  <si>
    <t>Twitter oficial de Europa Press Televisión, la sección de informativos de la agencia de noticias privada líder en España | YouTube: https://goo.gl/EzlxyC</t>
  </si>
  <si>
    <t>http://www.europapress.tv</t>
  </si>
  <si>
    <t>Las Mañanas de RNE</t>
  </si>
  <si>
    <t>Pedro Sánchez está decidido a vetar el acuerdo del #Brexit. Reacciones con @jordibarcia desde Londres y @mariacarou10 desde Bruselas y el análisis de @mathiesonmadrid #EspañaAlas9 ¿Qué opinas? Te leemos 👀 y te escuchamos 👂 ☎900 137 137 o audio al📲620 57 57 12</t>
  </si>
  <si>
    <t>https://pbs.twimg.com/media/DsrKxD8XgAAZYep.jpg</t>
  </si>
  <si>
    <t>Información y entretenimiento de lunes a viernes de 06.00 horas a 13.00 horas en @rne. Presentan @inigoalfonso y @MenendezRNE</t>
  </si>
  <si>
    <t>http://www.rtve.es/lasmananas</t>
  </si>
  <si>
    <t>#ReporteVecino</t>
  </si>
  <si>
    <t>Maracay, Venezuela</t>
  </si>
  <si>
    <t>Publicamos noticias y hacemos denuncias de los servicios necesarios para nuestros vecinos de Maracay síguenos y envía lo que necesita tu comunidad. #Maracay</t>
  </si>
  <si>
    <t>Jose Batista</t>
  </si>
  <si>
    <t>Pedro Sánchez, que poco respeto a los derechos humanos, visita Cuba, en vez de Arabia.</t>
  </si>
  <si>
    <t>cadiz</t>
  </si>
  <si>
    <t>Escribir, para mí, es tragarse las lágrimas y devolverlas convertidas en plata</t>
  </si>
  <si>
    <t>Pide a Pedro Sánchez, la Fiscalía y el defensor del pueblo garantizar en todas circunstancias el derecho a un juicio justo, transfiriendo el caso a una corte ordinaria</t>
  </si>
  <si>
    <t>https://www.lavanguardia.com/politica/20181123/453103126896/organizacion-mundial-tortura-liberar-inmediatamente-jordi-cuixart-jordi-sanchez.html?utm_source=twitter_lv&amp;utm_medium=social</t>
  </si>
  <si>
    <t>MHP</t>
  </si>
  <si>
    <t>El Gobierno impulsará la jubilación forzosa por edad y reducirá a tres los tipos de contrato,  vía @laSextaTV @sextaNoticias #RRHH #laboral</t>
  </si>
  <si>
    <t>http://ow.ly/iaaK30mIqqk</t>
  </si>
  <si>
    <t>Twitter oficial de MHP Servicios de Control · Servicio Integral de Gestión de Horarios #RRHH #ControlHorario #GestióndeHorarios #Tecnología #Empresa</t>
  </si>
  <si>
    <t>http://www.mhp.es</t>
  </si>
  <si>
    <t>La Vanguardia</t>
  </si>
  <si>
    <t>Twitter oficial de 'La Vanguardia' Información al minuto nacional e internacional</t>
  </si>
  <si>
    <t>http://www.LaVanguardia.com</t>
  </si>
  <si>
    <t>PCE</t>
  </si>
  <si>
    <t>Nuestro secretario general @ensanro visitó #Cuba antes que Pedro Sánchez. Aquí el artículo publicado en @Granma_Digital sobre ello. 📰 España y Cuba ante un nuevo escenario.</t>
  </si>
  <si>
    <t>http://www.granma.cu/mundo/2018-11-20/espana-y-cuba-ante-un-nuevo-escenario-20-11-2018-20-11-25</t>
  </si>
  <si>
    <t>Partido Comunista de España</t>
  </si>
  <si>
    <t>http://www.pce.es</t>
  </si>
  <si>
    <t>Langreo 🇪🇸 UB</t>
  </si>
  <si>
    <t>Agenda Pedro Sánchez:👇 Lunes: No se puede adorar a dictadores en mausoleos. Miercoles: Marruecos, reza a Mohamed V, en un país muy "demócrata". Viernes: Cuba, visita a dictadura comunista, mausoleos del Che o Fidel, muy "demócrata". A ver si os está tomando por idiotas.🤔🤗</t>
  </si>
  <si>
    <t>https://pbs.twimg.com/media/DsrJuMWWkAARty6.jpg</t>
  </si>
  <si>
    <t>Con los nuestros, por los nuestros.</t>
  </si>
  <si>
    <t>Tercio III</t>
  </si>
  <si>
    <t>Pedro Sánchez parece decidido a lograr un acuerdo de cosoberanía el Gibraltar. No me fío, pero ojalá sea así. Eso está genial, muy bien. Sin embargo, solo hay un partido no imbuido por el postmodernismo, y corrientes basura de este siglo, y es VOX.</t>
  </si>
  <si>
    <t>Me han vuelto a tirar la cuenta sin previo aviso y de forma definitiva. Aaah, la libertad...</t>
  </si>
  <si>
    <t>MARIANO RAJOY FAKE</t>
  </si>
  <si>
    <t>Respecto a Gibraltar, el Brexit y tal, pintxo de tortilla y caña a que donde Pedro Sánchez dice "vetaremos", quería decir "votaremos". RT @sanchezcastejon: Tras mi conversación con Theresa May, nuestras posiciones permanecen lejanas. Mi Gobierno siempre defenderá los intereses de España. Si no hay cambios, vetaremos el Brexit.</t>
  </si>
  <si>
    <t>Registrador de la propiedad. Muy español y mucho español.</t>
  </si>
  <si>
    <t>Confidencial Digital</t>
  </si>
  <si>
    <t>El futuro incierto de Pedro Sánchez</t>
  </si>
  <si>
    <t>http://somosecd.com/iu8oe4</t>
  </si>
  <si>
    <t>Almería, España</t>
  </si>
  <si>
    <t>+34 91 445 96 97 Madrid, Spain</t>
  </si>
  <si>
    <t>El twitter de las personas informadas que desean estar más informadas. http://somosecd.com/8m0gl socios@elconfidencialdigital.com</t>
  </si>
  <si>
    <t>http://www.elconfidencialdigital.com/</t>
  </si>
  <si>
    <t>Bob Estropajo</t>
  </si>
  <si>
    <t>Que alguien te quiera como Pedro Sánchez al avión presidencial.</t>
  </si>
  <si>
    <t>bob@bobestropajo.com</t>
  </si>
  <si>
    <t>¡¡TRAED PAELLA, CABRONES!!. Papi de Hanna y de Luna.</t>
  </si>
  <si>
    <t>http://www.bobestropajo.com</t>
  </si>
  <si>
    <t>María Sagrario Gómez Sánchez</t>
  </si>
  <si>
    <t>32 años después, un presidente del Gobierno español vuelve a Cuba. En 1986 el comandante en jefe Fidel Castro recibía a Felipe González. En 2018, es el presidente Díaz Canel quien recibe a Pedro Sánchez. #LaHabana #España #Cuba</t>
  </si>
  <si>
    <t>https://pbs.twimg.com/media/DsrG9OZWwAAEP_E.jpg</t>
  </si>
  <si>
    <t>Amante de la Historia y de los libros. Profesional de los Recursos Humanos.</t>
  </si>
  <si>
    <t>Leonor Mogio</t>
  </si>
  <si>
    <t>Pedro Sánchez: España se planta ante el brexit y dice que ve impensable un acuerdo sin los 27 - Público -</t>
  </si>
  <si>
    <t>https://www.publico.es/internacional/espana-planta-brexit-y-dice-ve-impensable-acuerdo-27.html</t>
  </si>
  <si>
    <t>vive la vida de forma que cuando tus hijos piensen en justicia e integridad piensen en ti Activista Militante PSOE y la UGT</t>
  </si>
  <si>
    <t>http://eleanor-viviendo.blogspot.com/</t>
  </si>
  <si>
    <t>Carlos Martin Casado</t>
  </si>
  <si>
    <t>Doug Marcaida abre camino y avisa sobre el Gobierno de Pedro Sánchez. Adelanta lo que nos espera, aunque según lo visto y comparándolo con lo sucedido en época de su admirado Zapatero, el de Forjado a Fuego ve lo que muchos españoles</t>
  </si>
  <si>
    <t>https://pbs.twimg.com/media/DsrI8sMWoAAk0le.jpg</t>
  </si>
  <si>
    <t>Aquí mirando... Por cierto, nací en Barcelona de padres segovianos, mis hijos son madrileños de madre andaluza nacida en París ¿Nacionalismos? ¡jaja! 😉</t>
  </si>
  <si>
    <t>http://www.motor16.com</t>
  </si>
  <si>
    <t>José Martínez Rubio</t>
  </si>
  <si>
    <t>Pedro Sánchez será el primer líder occidental en visitar Cuba con Miguel Díaz-Canel como presidente, y muchos piensan que España debiera aprovechar la oportunidad y establecer, por fin, las bases de una política de Estado coherente hacia la isla</t>
  </si>
  <si>
    <t>https://elpais.com/elpais/2018/11/20/mas_se_perdio_en_la_habana/1542738968_256871.html?id_externo_rsoc=TW_CC</t>
  </si>
  <si>
    <t>Bologna / València</t>
  </si>
  <si>
    <t>Professor Aj.Dr. Literatura | Educació a la UJI. Vaig aprendre a ensenyar a la Universitat de València i a la Università di Bologna. Ara a @GVAsanitat</t>
  </si>
  <si>
    <t>https://uji.academia.edu/Jos%C3%A9Mart%C3%ADnezRubio</t>
  </si>
  <si>
    <t>Alberto Arego Pulido</t>
  </si>
  <si>
    <t>VivoEnUnNido</t>
  </si>
  <si>
    <t>Pedro Sanchez en Cuba . España y Cuba: Ha resucitado a Franco y ahora va a resucitar a Fidel ... Se le dan bien las momias ...</t>
  </si>
  <si>
    <t>Periodista e inmigrante cubano y español. Redactor en @cibercuba 📸 @spaintosee</t>
  </si>
  <si>
    <t>http://www.albertoarego.com</t>
  </si>
  <si>
    <t>Vivo en un nido cerca del Mar</t>
  </si>
  <si>
    <t>Vivo en un nido virtual desde el que es ve un bosque virtual lleno de gente virtual que cree solo en cosas virtuales. La realidad me aterra</t>
  </si>
  <si>
    <t>Helen 🇪🇸🇪🇸🇪🇸</t>
  </si>
  <si>
    <t>La patada del socialista Pedro Sánchez a los solicitantes de asilo: "Vuelva en diciembre de 2020"  vía @Periodistadigit Si, aquí sólo se le abren las puertas a los delincuentes,violadores,y gentuza como Echenique. A los qué huyen del hambre y la tiranía no</t>
  </si>
  <si>
    <t>Mis enemigos, los que agravian, y denigran a España. Abstenerse los separatistas, y demás basura. Los qué defienden a los Chorizos también.</t>
  </si>
  <si>
    <t>Homo Incultux</t>
  </si>
  <si>
    <t>Pedro Sánchez se atreve con un dictador muerto hace 40 años, mientras esta de visita a dos dictaduras, Marruecos y Cuba.</t>
  </si>
  <si>
    <t>Evolución del homo sapiens tras pasar por la ESO, Universidad, la telebasura, la radio basura, no leer libros y ver horas de fútbol. Y mucho rock n roll</t>
  </si>
  <si>
    <t>Guille Amieva</t>
  </si>
  <si>
    <t>Es curioso que os joda y moleste que Pedro Sánchez vaya a Cuba y os de igual que el rey Felipe vaya a Arabia Saudí. Vendéis como violadora de los DDHH a Cuba y de Arabia Saudí no decís nada. Sois la hostia y bastante hipócritas.</t>
  </si>
  <si>
    <t>La Algaba, España</t>
  </si>
  <si>
    <t>Sevilla Fútbol Club • Subo algún que otro vídeo a YouTube sobre fútbol🎥⚽ • Real Oviedo y Stoke City •</t>
  </si>
  <si>
    <t>https://www.youtube.com/channel/UCt1Io3g7XUgEU0ELwC0Q0Wg</t>
  </si>
  <si>
    <t>GratyGramaDemsorean</t>
  </si>
  <si>
    <t>Ulldecona</t>
  </si>
  <si>
    <t>Radar Guarico</t>
  </si>
  <si>
    <t>San Juan De Los Morros</t>
  </si>
  <si>
    <t>Creado para ser referencia en materia de publicidad digital en el área del Estado Guarico. Experiencia a su alcance para proyectar ventas</t>
  </si>
  <si>
    <t>No-olvides</t>
  </si>
  <si>
    <t>Pedro Sánchez - presidente del Gobierno: NO EXPOLIE, por segunda vez, el Archivo de Salamanca - Firma:</t>
  </si>
  <si>
    <t>http://www.citizengo.org/hazteoir/166670-no-expolie-por-segunda-vez-archivo-salamanca?tc=tw&amp;tcid=52314267</t>
  </si>
  <si>
    <t>"Vive y deja vivir" un lema muy sencillo en el que el respeto mutuo es lo que más vale. Yo no te diré lo que tienes que hacer pero tú a mi tampoco.</t>
  </si>
  <si>
    <t>https://twitter.com/sanchezcastejon/status/1065719004923342850</t>
  </si>
  <si>
    <t>LAS PROVINCIAS</t>
  </si>
  <si>
    <t>El deseo de Pedro @sanchezcastejon: ver a los Reyes en Cuba el año próximo</t>
  </si>
  <si>
    <t>https://www.lasprovincias.es/politica/viaje-pedro-sanchez-cuba-20181123211321-ntrc.html</t>
  </si>
  <si>
    <t>Valencia, Spain</t>
  </si>
  <si>
    <t>Noticias de la Comunitat Valenciana, de España y de ámbito internacional WhatsApp: 626641201. Agréganos y envíanos tu nombre. https://telegram.me/lasprovincias</t>
  </si>
  <si>
    <t>http://www.lasprovincias.es</t>
  </si>
  <si>
    <t>Juan Lopez Escorza</t>
  </si>
  <si>
    <t>Pedro Sánchez, afirmó el miércoles: "No aprobaremos un acuerdo ni una declaración política si no se aclara el papel de España en la relación con Gibraltar"</t>
  </si>
  <si>
    <t>https://www.eldiario.es/internacional/Londres-Bruselas-UE-Reino-Unido_0_838516313.html</t>
  </si>
  <si>
    <t>Vélez-Málaga, España</t>
  </si>
  <si>
    <t>indignado con las injusticias, el hambre y los desequilibrios que hemos generado. El Marki http://suruiga.wordpress.com</t>
  </si>
  <si>
    <t>http://cjueloberoi.blogspot.com.es/</t>
  </si>
  <si>
    <t>Alma de Lobo</t>
  </si>
  <si>
    <t>Pedro Sánchez intenta negociar las condiciones de Gibraltar. Por ahora ya hemos perdido Melilla, Ceuta y parte de Cádiz, las Islas Baleares y las Canarias, Portugal quiere quedarse con Extremadura y Andorra con parte de Cataluña. Tras Zapatero es el mejor presidente #VikingosTeam</t>
  </si>
  <si>
    <t>https://pbs.twimg.com/media/DsrHTLaWoAA4OX6.jpg</t>
  </si>
  <si>
    <t>Ásatrú, folk metal, viking metal, odinismo, animales, tatoos, orgulloso de mis raíces celtíberas, si no te gustan mis intereses,díselo a mi espada. ᛁᚺᛟ ᛞᛖ ᛟᛞᛁᚾ</t>
  </si>
  <si>
    <t>24h</t>
  </si>
  <si>
    <t>▶ @JoseRa_Ghdez explica en @EspejoPublico por qué Pedro Sánchez ha perdido el derecho de veto en relación al Brexit.</t>
  </si>
  <si>
    <t>Sigue la información al minuto en el @24h_tve y en http://www.rtve.es/noticias ▪Facebook: https://www.facebook.com/24htve/ ▪Telegram: https://t.me/Canal24hTVE</t>
  </si>
  <si>
    <t>https://pbs.twimg.com/media/DsrHGSWV4AALNUp.jpg</t>
  </si>
  <si>
    <t>http://www.rtve.es/noticias/mas-24/</t>
  </si>
  <si>
    <t>Radar Cojedes</t>
  </si>
  <si>
    <t>Creado para ser referencia en materia de publicidad digital en el área del Estado Cojedes. Experiencia a su alcance para proyectar ventas</t>
  </si>
  <si>
    <t>DE CUETO - SANTANDER</t>
  </si>
  <si>
    <t>Wally 🇮🇨 🇪🇸</t>
  </si>
  <si>
    <t>¿Que hacemos con tanta indignación? No olvidemos cuando llegue el momento el menosprecio que recibimos constantemente de Pedro Sánchez. #EleccionesYa El Gobierno elige a la separatista Terribas para moderar un debate sobre los 40 años de la Constitución</t>
  </si>
  <si>
    <t>Santander, Cantabria - España</t>
  </si>
  <si>
    <t>- LA VOZ DE ESPAÑA - Lealtad, Justicia, Amor, Contundencia y Firmeza. ¡ #ConservadorLiberal ! - SILENCIO/BLOQUEO a #PODEMATAS y TRAIDORES ASQUEROSOS por SISTEMA</t>
  </si>
  <si>
    <t>https://www.facebook.com/josealberto.rodriguezarroyo.9</t>
  </si>
  <si>
    <t>https://okdiario.com/espana/2018/11/23/gobierno-elige-separatista-terribas-moderar-debate-sobre-40-anos-constitucion-3381573/amp</t>
  </si>
  <si>
    <t>Islas Afortunadas, El Paraíso</t>
  </si>
  <si>
    <t>Hay una fuerza motriz más poderosa que el vapor, la electricidad y la energía atómica: LA VOLUNTAD - Albert Einstein</t>
  </si>
  <si>
    <t>Once Noticias 📱📺</t>
  </si>
  <si>
    <t>El jefe de Gobierno español, Pedro Sánchez, inicia histórica visita a Cuba.</t>
  </si>
  <si>
    <t>http://bit.ly/2Ty4uix</t>
  </si>
  <si>
    <t>Te ofrecemos un panorama completo del acontecer en México 🇲🇽 y el mundo. Participa con nosotros #OnceNoticias</t>
  </si>
  <si>
    <t>http://oncenoticias.tv</t>
  </si>
  <si>
    <t>España es el tercer socio comercial de Cuba. De ahí la importante presencia de empresarios españoles que acompañan a Pedro Sánchez @sanchezcastejon en su visita oficial a la isla</t>
  </si>
  <si>
    <t>https://pbs.twimg.com/media/DsrGoFdXQAAXB-B.jpg</t>
  </si>
  <si>
    <t>elEconomista.es</t>
  </si>
  <si>
    <t>Todos los acuerdos alcanzados entre España y Cuba en la visita de Pedro Sánchez</t>
  </si>
  <si>
    <t>https://www.eleconomista.es/internacional/noticias/9538646/11/18/Espana-y-Cuba-crean-un-mecanismo-politico-para-abordar-los-derechos-humanos-en-la-transicion-del-pais.html</t>
  </si>
  <si>
    <t>Cuenta oficial de elEconomista.es. Facebook http://www.facebook.com/elEconomista.es Gracias por compartir con nosotros.</t>
  </si>
  <si>
    <t>http://www.eleconomista.es</t>
  </si>
  <si>
    <t>Citizen_Tab</t>
  </si>
  <si>
    <t>Luchando contra Franco que lleva 40 años muerto y acariciando el lomo de la dictadura cubana aún viva. Así fueron y son estos valientes luchadores del nuevo PSOE de Pedro Sánchez.</t>
  </si>
  <si>
    <t>Barcelona, Tabarnia, España</t>
  </si>
  <si>
    <t>Comunismo es miseria. Libertades individuales.</t>
  </si>
  <si>
    <t>Aragón</t>
  </si>
  <si>
    <t>Fernando Jiménez ¡¡Español!!</t>
  </si>
  <si>
    <t>Todo en interès del "pueblo"..eso dice este Lider de boquilla....</t>
  </si>
  <si>
    <t>https://www.elconfidencial.com/espana/2018-11-23/pedro-sanchez-adelanto-electoral-superdomingo-barones_1663322/?utm_source=facebook&amp;utm_medium=social&amp;utm_campaign=BotoneraWeb</t>
  </si>
  <si>
    <t>http://www.facebook.com/fernando.jimenez.12720</t>
  </si>
  <si>
    <t>Marisa Mercado</t>
  </si>
  <si>
    <t>Cristina Narbona con PSOERetiro Orgullo Gobierno Socialista de Pedro Sánchez. @CristinaNarbona @PSOERetiro</t>
  </si>
  <si>
    <t>https://pbs.twimg.com/media/DsrGd4tXgAAV0tW.jpg</t>
  </si>
  <si>
    <t>Sociologa. Sec. General PSOE RETIRO Portavoz Junta Retiro Defensora DDHH y de los animales.</t>
  </si>
  <si>
    <t>manuelcanosa marcote</t>
  </si>
  <si>
    <t>Mientras Pedro Sánchez pasea por Cuba, la Unión Europea, en connivencia con Gran Bretaña nos roba Gibraltar. Es más importante ir a Cuba que plantarse hoy mismo en Bruselas?</t>
  </si>
  <si>
    <t>valencia</t>
  </si>
  <si>
    <t>español.abogado,amante de la justicia,enamorado de la belleza,harto de los corruptos.</t>
  </si>
  <si>
    <t>▶ @JoseRa_Ghdez en @EspejoPublico sobre las negociaciones del Gobierno de Pedro Sánchez con el Brexit: “Es una vergüenza. Es la primera vez que tenemos tan cerca poder resolver lo de Gibraltar y se ha desaprovechado la oportunidad".</t>
  </si>
  <si>
    <t>https://pbs.twimg.com/media/DsrGOX8U4AAkwp4.jpg</t>
  </si>
  <si>
    <t>Olg@HV🍀</t>
  </si>
  <si>
    <t>Pedro Sánchez aprovechando para hacer viajes antes de salir a gorrazos de Moncloa. España y Cuba.</t>
  </si>
  <si>
    <t>Madrid, España.</t>
  </si>
  <si>
    <t>¡¡Awambabulubabalambambú!!</t>
  </si>
  <si>
    <t>The Great Marto 🏂</t>
  </si>
  <si>
    <t>Pedro Sánchez en Cuba yo no se como se le permite pisar la isla sinceramente a el o a cualquier presidente occidental que van allí a meter las narices Donde no le llaman</t>
  </si>
  <si>
    <t>Wintertime</t>
  </si>
  <si>
    <t>FC BARÇALONA /// A E S T H E T I C Footy, Rap and memes GALiCiAN /// STOOPID//////// Martiño</t>
  </si>
  <si>
    <t>María Tadeo</t>
  </si>
  <si>
    <t>btw - pedro sanchez esta en la habana.</t>
  </si>
  <si>
    <t xml:space="preserve">London </t>
  </si>
  <si>
    <t>Reporter for Bloomberg. Shared links, RT≠ endorsement. Opinions my own.</t>
  </si>
  <si>
    <t>Faro de Vigo</t>
  </si>
  <si>
    <t>Cumbre exprés entre España y Cuba: Pedro Sánchez inicia un viaje de 24 horas en el que no se reunirá con la disidencia</t>
  </si>
  <si>
    <t>http://ow.ly/VTqg30mIQ0B</t>
  </si>
  <si>
    <t>Noticias de Vigo y Galicia. También en @FaroOMorrazo @FaroPontevedra @FaroArousa @FaroOurense @FaroDezaEstrada y, ahora, WhatsApp ➡️ http://ow.ly/sNuv303MjVX</t>
  </si>
  <si>
    <t>https://www.farodevigo.es/</t>
  </si>
  <si>
    <t>jc</t>
  </si>
  <si>
    <t>Agustin</t>
  </si>
  <si>
    <t>Nuestro gobierno está en la "cumbre" de España y Cuba,😂😂,mientras hacen foticos y turismo en Europa nos están chuleando por todos lados,para hacer lo que hace Pedroooooo,ya tenemos al rey,Pedro Sánchez a de hacer política y defender los derechos de los españoles</t>
  </si>
  <si>
    <t>Ejerzo de jubilado. me gusta la economía y el derecho. Por una Tabarnia libre.</t>
  </si>
  <si>
    <t>laSexta</t>
  </si>
  <si>
    <t>http://atres.red/qn9ti2</t>
  </si>
  <si>
    <t>Todo el contenido de laSexta en nuestro perfil, en http://laSexta.com y en http://facebook.com/laSexta</t>
  </si>
  <si>
    <t>http://www.lasexta.com</t>
  </si>
  <si>
    <t>Nacho Escursell</t>
  </si>
  <si>
    <t>#SebastiaoEnLaCafetera La frase: "En el país de los ciegos, el tuerto es Rey" podría ilustrarse con la fotografía de Pedro Sánchez</t>
  </si>
  <si>
    <t>Zaragoza</t>
  </si>
  <si>
    <t>Desarrollador especializado en bases de datos, software industrial y entornos Web. Investigador en @unizar</t>
  </si>
  <si>
    <t>Sɧεℓɓγ</t>
  </si>
  <si>
    <t>El día que Theresa May pegue un bufido a Pedro Sánchez, coge el Falcon y no vuelve.</t>
  </si>
  <si>
    <t>Todavía no sé qué me vas a preguntar, pero me opongo.</t>
  </si>
  <si>
    <t>Prensa Libre</t>
  </si>
  <si>
    <t>Jefe del gobierno español visita Cuba en pleno proceso de apertura económica #EC</t>
  </si>
  <si>
    <t>http://bit.ly/2BsQZJM</t>
  </si>
  <si>
    <t>Ecuador</t>
  </si>
  <si>
    <t>Las Noticias del Ecuador y del Mundo. De las Fuentes de Datos de los Principales Medios de Informacion - alimentado por tus #FF y #RT</t>
  </si>
  <si>
    <t>Onda Cero</t>
  </si>
  <si>
    <t>https://ift.tt/2KsZ6ZJ</t>
  </si>
  <si>
    <t>https://pbs.twimg.com/media/DsrFIMLWwAA-RF9.jpg</t>
  </si>
  <si>
    <t>24 empresas van a hacer negocio con Sánchez en la Cuba poscastrista</t>
  </si>
  <si>
    <t>https://ift.tt/2TxOblP</t>
  </si>
  <si>
    <t>https://pbs.twimg.com/media/DsrFH9ZWwAEGeXm.jpg</t>
  </si>
  <si>
    <t>https://ift.tt/2FLGTrs</t>
  </si>
  <si>
    <t>https://pbs.twimg.com/media/DsrFHmaWsAAxUZx.jpg</t>
  </si>
  <si>
    <t>Fernando Llopis</t>
  </si>
  <si>
    <t>¿Teme @ximopuig unir su futuro al de Pedro Sánchez y sus socios? Sun Tzu y el «super domingo» de Ximo Puig  vía @ABC_CValenciana</t>
  </si>
  <si>
    <t>https://www.abc.es/espana/comunidad-valenciana/abci-y-super-domingo-ximo-puig-201811222338_noticia.html#ns_campaign=amp-rrss-inducido&amp;ns_mchannel=abc-es&amp;ns_source=tw&amp;ns_linkname=noticia.opinion&amp;ns_fee=0</t>
  </si>
  <si>
    <t>Ninguno de nosotros es tan bueno como todos juntos. Metodologías ágiles. Ingeniero, liberal y del Atleti, peligrosa combinación. Mi blog:El último liberal</t>
  </si>
  <si>
    <t>http://www.fernandollopis.es</t>
  </si>
  <si>
    <t>Martín Antonio</t>
  </si>
  <si>
    <t>El tema Gibraltar y cómo "no" lo ha tratado este gobierno tras el Bexit, es una muestra más de la continua improvisación del atrincheramiento de Pedro Sánchez en Moncloa.</t>
  </si>
  <si>
    <t>Chucena(huelva)</t>
  </si>
  <si>
    <t>Twitter dedicado a opiniones de FÚTBOL siempre desde la objetividad, Bético hasta la médula</t>
  </si>
  <si>
    <t>http://www.ecosdelbalon.com</t>
  </si>
  <si>
    <t>El Imparcial</t>
  </si>
  <si>
    <t>🇨🇺 Viaje exprés de Sánchez a Cuba sin encuentro con la disidencia previsto en su agenda  📷 EFE / Juanjo Martín / Ernesto Mastrascusa</t>
  </si>
  <si>
    <t>https://bit.ly/2QdaGxr
https://bit.ly/2RcyWND</t>
  </si>
  <si>
    <t>https://pbs.twimg.com/media/DsrE4AoWwAE3Zkw.jpg</t>
  </si>
  <si>
    <t>Diario digital de información general. También en Facebook http://goo.gl/Y76CLM y en YouTube http://goo.gl/JbKp1r</t>
  </si>
  <si>
    <t>http://www.elimparcial.es</t>
  </si>
  <si>
    <t>FRANCISCO ASIS JOSE</t>
  </si>
  <si>
    <t>MIENTRAS PEDRO SANCHEZ FUMA ABANOS CON RAUL CASTRO. INGLATERRA NOS ROBA NOCTURNAMENTE NUESTRO GIBRALTAR.</t>
  </si>
  <si>
    <t>Tarragona, España</t>
  </si>
  <si>
    <t>UNIVERSITARIO DIPLOMADO GRADUADO SOCIAL</t>
  </si>
  <si>
    <t>El apoyo a las empresas y la cooperación cultural centran el último día de Pedro Sánchez en Cuba  vía @EFEnoticias</t>
  </si>
  <si>
    <t>https://www.efe.com/efe/espana/politica/el-apoyo-a-las-empresas-y-la-cooperacion-cultural-centran-ultimo-dia-de-pedro-sanchez-en-cuba/10002-3821764</t>
  </si>
  <si>
    <t>El Confidencial</t>
  </si>
  <si>
    <t>Pedro Sánchez apuesta por el superdomingo electoral y siembra miedo en los barones</t>
  </si>
  <si>
    <t>https://www.elconfidencial.com/espana/2018-11-23/pedro-sanchez-adelanto-electoral-superdomingo-barones_1663322/?utm_source=twitter&amp;utm_medium=social&amp;utm_campaign=ECDiarioManual</t>
  </si>
  <si>
    <t>moderador(@)elconfidencial.com</t>
  </si>
  <si>
    <t>El diario de los lectores influyentes como tú. Más noticias en http://facebook.com/elconfidencial.</t>
  </si>
  <si>
    <t>Maria Luisa Bravo</t>
  </si>
  <si>
    <t>El apoyo a las empresas y la cooperación cultural centran el último día de Pedro Sánchez en Cuba</t>
  </si>
  <si>
    <t>http://bit.ly/2S5w4C7</t>
  </si>
  <si>
    <t>Madre, venezolana y luchadora!! Queriendo un mejor futuro para mi baby, amen!😇😝</t>
  </si>
  <si>
    <t>Actualidad Vitoria</t>
  </si>
  <si>
    <t>Sánchez traslada a Díaz-Canel su «ilusión» por ver a los Reyes en Cuba el año próximo</t>
  </si>
  <si>
    <t>https://ift.tt/2S9cnsT</t>
  </si>
  <si>
    <t>Vitoria/Gasteiz</t>
  </si>
  <si>
    <t>Noticias de actualidad de Vitoria/Gasteiz. All the news that's fit to print. #Gasteiz #Vitoria</t>
  </si>
  <si>
    <t>Analizamos la visita de Pedro Sánchez a Cuba con el escritor y ensayista Rafael Rojas @librocrepusculo 👉</t>
  </si>
  <si>
    <t>http://rtve.es/a/4854124</t>
  </si>
  <si>
    <t>https://pbs.twimg.com/media/DsrER3dXcAgIWAz.jpg</t>
  </si>
  <si>
    <t>Urbano24HORAS.COM</t>
  </si>
  <si>
    <t>A tres días de la cumbre europea que debe refrendar el acuerdo del Brexit y después de hablar por teléfono con la primera ministra británica, Theresa May, el presidente del Gobierno, Pedro Sánchez, reiteró este jueves su disposición a vetar el pacto</t>
  </si>
  <si>
    <t>https://elpais.com/internacional/2018/11/22/actualidad/1542914000_295410.html?id_externo_rsoc=TW_CM</t>
  </si>
  <si>
    <t>urbano.noticias@gmail.com</t>
  </si>
  <si>
    <t>Quito, Ecuador</t>
  </si>
  <si>
    <t>Medio de comunicación| Seguimos a nuestros seguidores. Nos interesa #AMLO, #Oaxaca, #POBREZA, #MORENA #Corrupcion #Violencia, #RT #Folow</t>
  </si>
  <si>
    <t>http://urbano24horas.com/</t>
  </si>
  <si>
    <t>Ángel Mariscal</t>
  </si>
  <si>
    <t>GIBRALTAR, RESUMEN: Theresa May ha estado a la altura y Pedro Sánchez Castejón no.</t>
  </si>
  <si>
    <t>Cuenca, Castilla-La Mancha</t>
  </si>
  <si>
    <t>Alcalde de #Cuenca comprometido con todos sus vecinos. Casado y padre de 2 hijos. Perfil personal. Quiero ser útil a los demás, no importante. Persona ante todo</t>
  </si>
  <si>
    <t>http://www.alcaldemariscal.es</t>
  </si>
  <si>
    <t>Eduardo Uribe</t>
  </si>
  <si>
    <t>Pedro Sánchez amenazando a UK. ¿Qué puede salir mal? RT @elEconomistaes: Órdago español en torno al Brexit: Pedro Sánchez amenaza con un "veto" a Theresa May</t>
  </si>
  <si>
    <t>https://twitter.com/elEconomistaes/status/1065879398845423617
https://www.eleconomista.es/economia/noticias/9538133/11/18/Espana-acusa-a-la-UE-y-Reino-Unido-de-modificar-el-acuerdo-con-nocturnidad-y-alevosia.html</t>
  </si>
  <si>
    <t>Santander</t>
  </si>
  <si>
    <t>Teleco. Socio n.º 625 @realracingclub. También tecnología y móviles. Telecom engineer. Interested in all kind of technology and science. (SPAIN)</t>
  </si>
  <si>
    <t>El Perezoso</t>
  </si>
  <si>
    <t>Pedro Sánchez ha visto mis fotos de Cuba, le ha dado envidia y para allá que ha ido. No lo culpo.</t>
  </si>
  <si>
    <t>Manchester, England</t>
  </si>
  <si>
    <t>A mí lo que me gustan son los fines semana.</t>
  </si>
  <si>
    <t>Juventud Carmelita</t>
  </si>
  <si>
    <t>Que la virgen María nos ayude a seguir a Jesús con alegría por la vía del servicio, camino real que lleva al Cielo. Papa Francisco. Feliz fin de semana #juventudcarmelita #marrónyblanco 📸: Pedro Sánchez</t>
  </si>
  <si>
    <t>https://pbs.twimg.com/media/DsrEJJAX4AAEdD2.jpg</t>
  </si>
  <si>
    <t>Parroquia de Omnium Sanctorum</t>
  </si>
  <si>
    <t>Twitter oficial del Grupo Joven de @Hdad_del_Carmen.</t>
  </si>
  <si>
    <t>http://www.hermandaddelcarmen.es/juventud</t>
  </si>
  <si>
    <t>Cristina Esquivias</t>
  </si>
  <si>
    <t xml:space="preserve">Madrid y alrededores
</t>
  </si>
  <si>
    <t>Eduardoguillentablada66. Cubano y Español 100%.</t>
  </si>
  <si>
    <t>Pedro Sánchez el Malabarista. ATENCION!!. 1er Carril. Doctorado Falso. 2do Carril. EREs. 3er Carril. Dolores Delgado 4to Carril. Presupuestos. 5to Carril. Convocar Elecciones Ya. Que os parece? Ahora viene un Ciclista y lo arrolla en la Acera... RT @entretiniebla: Aqui vemos a Pedro Sánchez. Le da igual lo que le pase y le da igual si le jode la vida a los demas. Él siempre quiere ser el centro de atención.</t>
  </si>
  <si>
    <t>https://twitter.com/entretiniebla/status/1065669349258813440</t>
  </si>
  <si>
    <t>pic.twitter.com/mpFWF7NKNY</t>
  </si>
  <si>
    <t>El concepto ideológico, Izquierda-Derecha es, Falso. En democracia los políticos son Perroflautas sinvergüenzas o gente con sentido común, con estos me quedo.</t>
  </si>
  <si>
    <t>Ana</t>
  </si>
  <si>
    <t>regis iglesias</t>
  </si>
  <si>
    <t>la habana 1969. portavoz del movimiento cristiano liberacion. gestor del proyecto varela. prisionero politico. desterrado a españa en 2010. autor.</t>
  </si>
  <si>
    <t>http://www.oswaldopaya.org</t>
  </si>
  <si>
    <t>Carta abierta de un cubano a Pedro Sánchez</t>
  </si>
  <si>
    <t>El ejecutivo de Pedro Sánchez presume ser un firme defensor de la separación de poderes, a la vez que comete injerencias en el poder judicial</t>
  </si>
  <si>
    <t>http://bit.ly/2BsqTXw</t>
  </si>
  <si>
    <t>Sam Kurtz</t>
  </si>
  <si>
    <t>Pedro Sánchez está en Cuba, que no es lo mismo que Pedro Sánchez está como una cuba.</t>
  </si>
  <si>
    <t>Escritor (http://samkurtz.bubok.es) y misántropo. Una combinación nada original; lo sé. Por vocación denuncio las injusticias y la corrupción.</t>
  </si>
  <si>
    <t>http://kurtzpensamientos.blogspot.com/</t>
  </si>
  <si>
    <t>Órdago español en torno al Brexit: Pedro Sánchez amenaza con un "veto" a Theresa May</t>
  </si>
  <si>
    <t>https://www.eleconomista.es/economia/noticias/9538133/11/18/Espana-acusa-a-la-UE-y-Reino-Unido-de-modificar-el-acuerdo-con-nocturnidad-y-alevosia.html</t>
  </si>
  <si>
    <t>Pérez Gavilán</t>
  </si>
  <si>
    <t>100% de acuerdo con Fariñas, el gobierno de Rajoy y ahora el de Pedro Sánchez subestiman la disidencia y el exilio cubano y se suman a la financiación del régimen castristas...solo les aconsejamos que retiren los empresarios mercenarios de Cuba.</t>
  </si>
  <si>
    <t>https://www.larazon.es/internacional/guillermo-farinas-el-viaje-de-sanchez-es-una-bofetada-a-los-que-quieren-otra-cuba-FH20634265</t>
  </si>
  <si>
    <t>las libertades individuales en Cuba se censuran y se limitan, en la democracia española se vive mucho mejor.</t>
  </si>
  <si>
    <t>Pedro Sánchez, en la línea d su modelo a seguir ZP, d falconeo en Cuba, uno d los países con una Democracia más consolidada dl Mundo 😆 RT @sanchezcastejon: Ya en La Habana, me he reunido con el presidente @DiazCanelB. Normalizar el diálogo político e impulsar la cooperación económica, comercial y cultural entre #España y #Cuba tras 32 años sin que un presidente español visitase la isla es el objetivo de nuestro viaje.</t>
  </si>
  <si>
    <t>El COYOTE</t>
  </si>
  <si>
    <t>Pedro Sánchez está hoy blanqueando la dictadura cubana , así está el PSC actual. RT @J_Zaragoza_: ¿Se imaginan a la derecha alemana o italiana absteniéndose en la condena a Hitler o Musolini? Pues en España no hay que imaginarlo, PP y C’s juntos de la mano se abstienen en la condena del Franquismo.</t>
  </si>
  <si>
    <t>https://twitter.com/J_Zaragoza_/status/1065519747234705408
https://www.elperiodico.com/es/politica/20181121/senado-votacion-mocion-condena-franquismo-7159453</t>
  </si>
  <si>
    <t>Si no se puede ganar con honor ni con deshonor,mejor perder con nobleza.</t>
  </si>
  <si>
    <t>Perderemos Gibraltar por lo incompetente que es Pedro Sánchez? Los socialistas estarán callados en este tema? Otra vez perdemos.</t>
  </si>
  <si>
    <t>Ines del Valle Rojas</t>
  </si>
  <si>
    <t>Pedro Sánchez llegó a Cuba y se reunirá con Díaz-Canel -</t>
  </si>
  <si>
    <t>http://tinyurl.com/yb99p62t</t>
  </si>
  <si>
    <t>https://pbs.twimg.com/media/Dsp5NP7U8AARmKH.jpg</t>
  </si>
  <si>
    <t>Venezuela, Caracas</t>
  </si>
  <si>
    <t>Nací para ser libre, soy creativa y un poco retro., Me encanta el cine y el arte. Amo a mi gato "Felix"</t>
  </si>
  <si>
    <t>El Panda Pensador</t>
  </si>
  <si>
    <t>Bello</t>
  </si>
  <si>
    <t>Sígueme si eres un Panda. Analista y desarrollador, convierto ideas en realidad hace más de 18 años. Twitter no me deja seguir a nadie más 😰</t>
  </si>
  <si>
    <t>http://www.enliveapps.com</t>
  </si>
  <si>
    <t>Presidente cubano Diaz-Canel recibe a su homólogo español Pedro Sánchez</t>
  </si>
  <si>
    <t>https://ift.tt/2ziZANG</t>
  </si>
  <si>
    <t>Maese</t>
  </si>
  <si>
    <t>Ya que hoy es Black Friday, ¿podemos vender un boli BIC a un céntimo y regalar a Pedro Sánchez?</t>
  </si>
  <si>
    <t>Compositor de música en bucle para muñecos. Si vienes, trae sugus de naranja.</t>
  </si>
  <si>
    <t>Los presidentes de #Cuba, Miguel Díaz-Canel y del gobierno de #España, Pedro Sánchez, sostuvieron la tarde de este jueves conversaciones oficiales en La Habana, con vistas a estrechar los vínculos entre ambas naciones.</t>
  </si>
  <si>
    <t>https://pbs.twimg.com/media/Dsq-g0UVYAA7Gwr.jpg</t>
  </si>
  <si>
    <t>Matriz De Opinión</t>
  </si>
  <si>
    <t>https://buff.ly/2DTu24N</t>
  </si>
  <si>
    <t>Noticias diarias sobre Venezuela y el Mundo</t>
  </si>
  <si>
    <t>http://matrizdeopinion.com</t>
  </si>
  <si>
    <t>Gobierno de Sánchez: “Cuba se está abriendo y nos interesa que nuestras empresas estén bien posicionadas para tener acceso a los contratos más importantes“</t>
  </si>
  <si>
    <t>https://pbs.twimg.com/media/DsrCKkRWkAArs0T.jpg</t>
  </si>
  <si>
    <t>APPI-A</t>
  </si>
  <si>
    <t>Pedro Sánchez al sector de automoción: 20 años son suficientes para hacer la transición al coche eléctrico</t>
  </si>
  <si>
    <t>https://www.elmundo.es/motor/2018/11/21/5bf51a38e5fdea963a8b4686.html</t>
  </si>
  <si>
    <t>Almussafes, España</t>
  </si>
  <si>
    <t>Asociación de Empresarios de Parques y Polígonos Industriales (Ribera Baixa)</t>
  </si>
  <si>
    <t>http://www.appi-a.com</t>
  </si>
  <si>
    <t>El Azote de Dios</t>
  </si>
  <si>
    <t>La verdad es que @sanchezcastejon parece ludópata... Le gusta jugarse todo a una carta.</t>
  </si>
  <si>
    <t>Tribuna de Salamanca</t>
  </si>
  <si>
    <t>La salmantina Esther del Brío, elegida por el PP para interrogar a Pedro Sánchez en la investigación de su tesis.</t>
  </si>
  <si>
    <t>http://bit.ly/2OYgne2</t>
  </si>
  <si>
    <t>https://pbs.twimg.com/media/DsoVtm8X4AAJwJK.jpg</t>
  </si>
  <si>
    <t>Primer diario on-line de Salamanca, desde 1998. Sigue la información al minuto de tu ciudad y provincia en nuestra web, versión móvil y app.</t>
  </si>
  <si>
    <t>http://www.tribunasalamanca.com</t>
  </si>
  <si>
    <t>ignacio ruizquintano</t>
  </si>
  <si>
    <t>A juicio de Pedro Sánchez, “todos tenemos la culpa” de que una llama (lama glama) de la Esquerra escupiera en el Parlamento a un ministro del gobierno.</t>
  </si>
  <si>
    <t>https://salmonetesyanonosquedan.blogspot.com/2018/11/totus.html</t>
  </si>
  <si>
    <t>Madrid 88 (Ni uno + ni uno -)</t>
  </si>
  <si>
    <t>Burgos. Periodismo. ABC</t>
  </si>
  <si>
    <t>http://salmonetesyanonosquedan.blogspot.com/</t>
  </si>
  <si>
    <t>https://pbs.twimg.com/media/DsrB0fDWkAEebEU.jpg</t>
  </si>
  <si>
    <t>@Micael</t>
  </si>
  <si>
    <t>mexico</t>
  </si>
  <si>
    <t>Humanista,defensor de los derechos de los Animales y Cinefilo</t>
  </si>
  <si>
    <t>Ramon Mateu Sans</t>
  </si>
  <si>
    <t>EN LA UE YA ESTAB ACOLLONIDOS ! Pedro Sánchez : "Si no hay cambios, vetaremos el 'brexit'"</t>
  </si>
  <si>
    <t>https://www.meneame.net/story/pedro-sanchez-no-hay-cambios-vetaremos-brexit</t>
  </si>
  <si>
    <t>Al millor país CATALUNYA !</t>
  </si>
  <si>
    <t>Home lliure, amant de la justícia i del respecte, a qui s'ho mereix, exigent amb mi mateix, rebutjo les imposicions</t>
  </si>
  <si>
    <t>Pepito Grillo</t>
  </si>
  <si>
    <t>Pedro Sánchez: España se planta ante el brexit y dice que ve impensable un acuerdo sin los 27 - Público</t>
  </si>
  <si>
    <t>Lo importante no es que te sigan, sino la huella que dejaste.</t>
  </si>
  <si>
    <t>INDEFENSO</t>
  </si>
  <si>
    <t>Theresa May advierte a Sánchez de que protegerá "la soberanía británica" de Gibraltar May conversó anoche con el presidente del Gobierno, Pedro Sánchez y dice que fue "absolutamente clara". ESTABAMOS EN LA UE PARA TENER AMIGOS FRENTE A ESTOS PIRATAS PERO AHORA QUIEN NO VOTE AL</t>
  </si>
  <si>
    <t>https://pbs.twimg.com/media/DsrBUOaWkAE0xFS.jpg</t>
  </si>
  <si>
    <t>Periodista Digital América</t>
  </si>
  <si>
    <t>#23Nov La patada por el culo de Pedro Sánchez a los solicitantes de Asilo en España: “Vuelva en diciembre de 2020”  vía @Periodistadigit</t>
  </si>
  <si>
    <t>Información de América y del Mundo</t>
  </si>
  <si>
    <t>http://www.periodistalatino.com</t>
  </si>
  <si>
    <t>IlsaLund</t>
  </si>
  <si>
    <t>“Siempre defenderé los intereses de España”. Pedro Sánchez, presidente del gobierno con el apoyo de independentistas vascos y catalanes. RT @sanchezcastejon: Tras mi conversación con Theresa May, nuestras posiciones permanecen lejanas. Mi Gobierno siempre defenderá los intereses de España. Si no hay cambios, vetaremos el Brexit.</t>
  </si>
  <si>
    <t>Me gusta pulular.</t>
  </si>
  <si>
    <t>No hago favores y no soy el teléfono de la esperanza. Pero a veces compro balas de paja.</t>
  </si>
  <si>
    <t>Nuestra Gente CA</t>
  </si>
  <si>
    <t>Pedro Sánchez, primer jefe de gobierno español en visitar Cuba</t>
  </si>
  <si>
    <t>https://laeducacion.us/pedro-sanchez-primer-jefe-de-gobierno-espanol-en-visitar-cuba/</t>
  </si>
  <si>
    <t>Los Angeles, California</t>
  </si>
  <si>
    <t>Medio #Informativo Comunitario al Servicio del #Pueblo #Latino de #California</t>
  </si>
  <si>
    <t>http://facebook.com/nuestragentecalifornia</t>
  </si>
  <si>
    <t>@Metatron.*.</t>
  </si>
  <si>
    <t>LA Educación</t>
  </si>
  <si>
    <t>Los Angeles, CA</t>
  </si>
  <si>
    <t>Proyecto informativo en favor de la educación pública y la comunidad latina de LA</t>
  </si>
  <si>
    <t>http://laeducacion.us</t>
  </si>
  <si>
    <t>paco mendoza</t>
  </si>
  <si>
    <t>Pedro Sánchez, primer jefe de gobierno español en visitar Cuba  vía @laedus</t>
  </si>
  <si>
    <t>http://www.laeducacion.us</t>
  </si>
  <si>
    <t>Nuevo ridículo de Pedro Sanchez y de la izquierda española, pero condenemos el franquismo e insultemos a los partidos que no son de izquierdas no vaya a ser que la gente se dé cuenta</t>
  </si>
  <si>
    <t>REPORTUR</t>
  </si>
  <si>
    <t>Cuba: 5 hoteleras españolas en el Foro al que acude Pedro Sánchez</t>
  </si>
  <si>
    <t>https://goo.gl/B7dcKa</t>
  </si>
  <si>
    <t>Madariaga</t>
  </si>
  <si>
    <t>Noticias de Turismo de México, Colombia, Argentina y América Latina para agencias de viajes, touroperadores, hoteles y aerolíneas</t>
  </si>
  <si>
    <t>http://www.reportur.com</t>
  </si>
  <si>
    <t>«Con la rebelión de 1934, la izquierda española perdió hasta la sombra de autoridad moral para condenar la rebelión de 1936» (Salvador de Madariaga)</t>
  </si>
  <si>
    <t>Pascual Cucala Mir</t>
  </si>
  <si>
    <t>PEDRO SÁNCHEZ SALUDA CON LA MANO FLOJA. PELIGRO.</t>
  </si>
  <si>
    <t>https://pbs.twimg.com/media/DsrAW6JWoAAR2kQ.jpg</t>
  </si>
  <si>
    <t>Emilio Cabrera</t>
  </si>
  <si>
    <t>Espero que Pedro Sánchez haya ido a La Habana para coger ideas sobre la implantación de un sistema socialista.</t>
  </si>
  <si>
    <t>San Fernando-Sevilla-Madrid</t>
  </si>
  <si>
    <t>Periodista, ahora en @masterEACP. En el norte los del sur pasan frío. Buena persona, mejor tuitero.</t>
  </si>
  <si>
    <t>http://instagram.com/emiliocabrera7</t>
  </si>
  <si>
    <t>Carmen Fernandez</t>
  </si>
  <si>
    <t>#SebastiaoEnLaCafetera el gobierno de Pedro Sánchez una de sus características es "donde dije digo digo diego", así q...😑</t>
  </si>
  <si>
    <t>“La jerarquía es como los estantes, cuanto más altos menos sirven”. Madrileña</t>
  </si>
  <si>
    <t>Plena inclusión</t>
  </si>
  <si>
    <t>¿Sabes cuál es el porcentaje de empleo en las familias con personas con discapacidad? #EquilibraLaBalanza y envía tu carta a Pedro Sánchez. Pedimos ingresos dignos para las personas con discapacidad intelectual y sus familias. ¡Actúa y difunde!</t>
  </si>
  <si>
    <t>http://ow.ly/agKf30mI9XH</t>
  </si>
  <si>
    <t>https://pbs.twimg.com/media/Dsq_x5VXQAAxmFI.jpg</t>
  </si>
  <si>
    <t>🍀Por la #inclusion de las personas con #discapacidad intelectual o del desarrollo #autismo #sindromedown y sus familias. Defendemos su #plenainclusión.</t>
  </si>
  <si>
    <t>http://www.plenainclusion.org</t>
  </si>
  <si>
    <t>Luis Manuel Mazorra</t>
  </si>
  <si>
    <t>▶️ VIDEO: Cuba y España acuerdan consultas bilaterales anuales para hablar incluso sobre derechos humanos</t>
  </si>
  <si>
    <t>https://www.cibercuba.com/videos/noticias/2018-11-23-u1-e199291-s27061-pedro-sanchez-inicia-su-vista-habana-firma-acuerdos</t>
  </si>
  <si>
    <t>#Surfer, Co-Founder @CiberCuba</t>
  </si>
  <si>
    <t>http://cibercuba.com</t>
  </si>
  <si>
    <t>Nico</t>
  </si>
  <si>
    <t>Que soy Pedro Sánchez y no lo sabía RT @SenabreValencia: @Nicormg Demagògia la tuya,</t>
  </si>
  <si>
    <t>https://twitter.com/senabrevalencia/status/1065873569224241153</t>
  </si>
  <si>
    <t>https://pbs.twimg.com/media/Dsq-XIBWsAE7PYM.jpg</t>
  </si>
  <si>
    <t>York-Sevilla</t>
  </si>
  <si>
    <t>20. Andaluz y Extremeño. History and Politics, University of York. 🇬🇧 { @nicolah1998 }</t>
  </si>
  <si>
    <t>https://www.instagram.com/nicormg/</t>
  </si>
  <si>
    <t>Belén Luengo</t>
  </si>
  <si>
    <t>Me reitero @sanchezcastejon Eres muy mala persona... Pedro Sánchez visita el mausoleo de Mohamed V en Marruecos via @elfarodeceuta</t>
  </si>
  <si>
    <t>https://elfarodeceuta.es/pedro-sanchez-visita-mausoleo-mohamed-vi-rey-marruecos/</t>
  </si>
  <si>
    <t>Odio la hipocresía y el fanatismo. Soy Española y Madre orgullosa.</t>
  </si>
  <si>
    <t>Joan García</t>
  </si>
  <si>
    <t>Pedro Sánchez no es mi presidente si no prohibe de una vez el twitter en modo nocturno! #EleccionesYa</t>
  </si>
  <si>
    <t>Más allás del muro</t>
  </si>
  <si>
    <t>Sociologia UAB 📚</t>
  </si>
  <si>
    <t>Pedro Sánchez mandando al Rey a la Puta Cuba. RT @EPNacional: Sánchez traslada al presidente cubano que le haría ilusión que los Reyes viajasen a Cuba en 2019  ➡ Los dos mandatarios se han reunido en el Palacio de la Revolución de La Habana</t>
  </si>
  <si>
    <t>https://twitter.com/EPNacional/status/1065872815616864256
https://bit.ly/2DQ1usY</t>
  </si>
  <si>
    <t>https://pbs.twimg.com/media/Dsq9nvTXQAA0WHJ.jpg</t>
  </si>
  <si>
    <t>Periodista, técnico de Imagen. Escucho música, leo tebeos, juego a videojuegos,... Soy una vergüenza para la comunidad friki.</t>
  </si>
  <si>
    <t>http://www.xn--lacabaadelarbol-3qb.es</t>
  </si>
  <si>
    <t>Jaime de Berenguer</t>
  </si>
  <si>
    <t>Repito, un singular problema psicológico acecha al Presidente Pedro Sánchez.</t>
  </si>
  <si>
    <t>https://pbs.twimg.com/media/Dsq97XCXcAAHw1i.jpg</t>
  </si>
  <si>
    <t>Digo lo que pienso, a veces me equivoco. “Hay que apartar de nosotros el mal gusto de querer coincidir con muchos” Nietzsche.Liberal. Concejal de Madrid 2011-15</t>
  </si>
  <si>
    <t>http://elperiodi.co/ucoat2</t>
  </si>
  <si>
    <t>Antonio Peral Villar</t>
  </si>
  <si>
    <t>Pedro Sánchez, investigado por el Senado: “El Senado pedirá cuentas a Sánchez y a los profesores que validaron su tesis” via @abc_es</t>
  </si>
  <si>
    <t>https://www.abc.es/espana/abci-senado-pedira-cuentas-sanchez-y-profesores-validaron-tesis-201811230359_noticia.html#ns_campaign=rrss-inducido&amp;ns_mchannel=abc-es&amp;ns_source=tw&amp;ns_linkname=noticia-foto&amp;ns_fee=0</t>
  </si>
  <si>
    <t>Alicante (Spain)</t>
  </si>
  <si>
    <t>«No importa el camino que elijas, pero hazlo siempre con el corazón» (Confucio) ~ Presidente PP Alicante @AlicantePopular #ilusionPorElFuturo 🇪🇸 @PPopular</t>
  </si>
  <si>
    <t>http://antonioperal.blogspot.com</t>
  </si>
  <si>
    <t>Gallego Rey</t>
  </si>
  <si>
    <t>Poemillas de gratis, que hoy me siento como Pedro Sánchez de generoso con los autónomos oigan. Autorretrato desfigurado</t>
  </si>
  <si>
    <t>https://www.poemas-del-alma.com/blog/mostrar-poema-519033</t>
  </si>
  <si>
    <t>https://pbs.twimg.com/media/Dsq9WyyWsAAtMGz.jpg</t>
  </si>
  <si>
    <t>Beniaján, Murcia</t>
  </si>
  <si>
    <t>Gallego. De Carballo/A Coruña. De paso, como todos. Aquí solo se viene a vivir un rato y hay que aprovecharlo.</t>
  </si>
  <si>
    <t>http://www.gallegorey.wordpress.com</t>
  </si>
  <si>
    <t>El País se fuma un puro...cortesía del castrismo</t>
  </si>
  <si>
    <t>Jorge Vilches</t>
  </si>
  <si>
    <t>Pedro Sánchez tiene la culpa de que las instituciones se estén degradando y de que las fórmulas autoritarias se abran paso  Mi artículo hoy en @voz_opinion @voz_populi</t>
  </si>
  <si>
    <t>https://www.vozpopuli.com/_4720099d</t>
  </si>
  <si>
    <t>Politólogo. Historiador. Profesor UCM. Escribo en @larazon_es @elespanolcom @voz_populi @Disidentia Hablo en @HerreraenCope Coautor #ContraLaSocialdemocracia</t>
  </si>
  <si>
    <t>Carlos DíazDomínguez</t>
  </si>
  <si>
    <t>"Los ascensores dormidos de La Habana", el #thriller del que no hablará Pedro Sánchez con Díaz Canel en su encuentro España y Cuba.</t>
  </si>
  <si>
    <t>https://www.amazon.es/ascensores-dormidos-Habana-Carlos-Dom%C3%ADnguez-ebook/dp/B07J3S28PG/ref=sr_1_2?s=digital-text&amp;ie=UTF8&amp;qid=1542958518&amp;sr=1-2</t>
  </si>
  <si>
    <t>https://pbs.twimg.com/media/Dsq9QCCW0AApxzc.jpg</t>
  </si>
  <si>
    <t>`Entreacto en el Apolo´ es mi séptima novela. Antes escribí `La menorah de Petra´, `Tres colores en Carinhall´...</t>
  </si>
  <si>
    <t>http://www.carlosdiazdominguez.com</t>
  </si>
  <si>
    <t>Noticias Mediodía</t>
  </si>
  <si>
    <t>Pedro Sánchez mantiene su oposición al acuerdo del Brexit por Gibraltar.</t>
  </si>
  <si>
    <t>https://www.ondacero.es/noticias/espana/pedro-sanchez-mantiene-oposicion-acuerdo-brexit-gibraltar_201811225bf723760cf21fd497157fc5.html</t>
  </si>
  <si>
    <t>https://pbs.twimg.com/media/Dsq9OBLXcAAFopb.jpg</t>
  </si>
  <si>
    <t>De lunes a viernes de 14:00 a 15:00 en @ondacero_es con Elena Gijón. Noticias de Onda Cero #Radio</t>
  </si>
  <si>
    <t>http://www.ondacero.es/programas/noticias-mediodia/</t>
  </si>
  <si>
    <t>Dan Aeon</t>
  </si>
  <si>
    <t>España y Cuba muy amigoz, no keremos erenzia diktatorial pero ke guapo pedro sanchez biajando a Kuba y Marruekos a reunirse kon diktadores.</t>
  </si>
  <si>
    <t>https://pbs.twimg.com/media/Dsq80gHW0AEjqhE.jpg</t>
  </si>
  <si>
    <t>European Nationalist. Never let evil take root.</t>
  </si>
  <si>
    <t>M J</t>
  </si>
  <si>
    <t>Si Pedro Sánchez devuelve Gibraltar a España lo hacemos rey</t>
  </si>
  <si>
    <t>Maria Dominguez</t>
  </si>
  <si>
    <t>http://www.citizengo.org/hazteoir/166670-no-expolie-por-segunda-vez-archivo-salamanca?tc=tw&amp;tcid=52313949</t>
  </si>
  <si>
    <t>"...y conocereis la Verdad, y la Verdad os hara libres" Juan 8;32</t>
  </si>
  <si>
    <t>Mathu_salen</t>
  </si>
  <si>
    <t>Jubilado en activo.</t>
  </si>
  <si>
    <t>Aurelio Fernández</t>
  </si>
  <si>
    <t>El vicepresidente primero del Gobierno, Pablo Iglesias, convoca al máximo órgano de Podemos ante la inminencia de un adelanto electoral. No hay mejor indicio de que Pedro Sánchez ya ha tomado una decisión.</t>
  </si>
  <si>
    <t>Periodista. Director general de Publicaciones de Unidad Editorial. Más periodismo y menos vedetismo.</t>
  </si>
  <si>
    <t>URGENTE. El Gobierno de Pedro Sánchez, cediendo al chantaje de los secesionistas en Cataluña, planea un segundo saqueo de documentos del Archivo de Salamanca. Stop al expolio de la historia de España. @SalvarArchivo</t>
  </si>
  <si>
    <t>https://www.citizengo.org/hazteoir/166670-no-expolie-por-segunda-vez-archivo-salamanca</t>
  </si>
  <si>
    <t>Mallorcadiario.com</t>
  </si>
  <si>
    <t>👉La Opinión de Bernardo Rabassa: El otoño de Pedro Sánchez</t>
  </si>
  <si>
    <t>https://www.mallorcadiario.com/noticia/527416/el-otono-de-pedro-sanchez.html</t>
  </si>
  <si>
    <t>Noticias de Mallorca. Actualidad de política, economía, deportes, comunicación y sanidad, además de la opinión más lúcida y la información confidencial.</t>
  </si>
  <si>
    <t>http://www.mallorcadiario.com</t>
  </si>
  <si>
    <t>Más De Uno</t>
  </si>
  <si>
    <t>📻 A punto de comenzar #LaTertulia de @MasDeUno. Hoy con @pacomarhuenda, @anabeldn, Pilar Cernuda y @Ruben_Amon. Por delante: 🔹¿Es posible el veto de España al acuerdo de Brexit? 🔹ENTREVISTA a @MargalloJm @PPopular 🔹Pedro Sánchez en Cuba ▶️</t>
  </si>
  <si>
    <t>https://www.ondacero.es/directo/</t>
  </si>
  <si>
    <t>https://pbs.twimg.com/media/Dsq8KVmWoAAIyIK.jpg</t>
  </si>
  <si>
    <t>Información y entretenimiento con @carlos__alsina. De lunes a viernes de 6:00 a 12:30 en @OndaCero_es.</t>
  </si>
  <si>
    <t>http://www.ondacero.es/masdeuno/</t>
  </si>
  <si>
    <t>okdario</t>
  </si>
  <si>
    <t>NUEVO ESCÁNDALO | Pedro Sánchez usa un avión para viajar a Cuba.</t>
  </si>
  <si>
    <t>https://pbs.twimg.com/media/Dsq8LA-XQAEUE6L.jpg</t>
  </si>
  <si>
    <t>Fake news que podrías ver publicadas en cualquier panfleto español. Hemos venido a hacer la competencia a OKdiario, Mediterráneo Digital, la Gaceta, etc. (FAKE)</t>
  </si>
  <si>
    <t>https://pbs.twimg.com/media/Dsq8BceXgAA1aAk.jpg</t>
  </si>
  <si>
    <t>Nadia Calviño inicia la cuenta atrás para desconectar de Pedro Sánchez  vía @elmundoes</t>
  </si>
  <si>
    <t>https://www.elmundo.es/economia/2018/11/18/5bf05549e2704efb6b8b459f.html</t>
  </si>
  <si>
    <t>Turismo de Jaén</t>
  </si>
  <si>
    <t>La concejal de Turismo del Ayuntamiento de #Jaén felicita a Pedro Sánchez por conseguir la primera #estrellamichelin para Jaén. Un reconocimiento avalado por el buen trabajo, buen hacer y la constancia. La concejal se ofrece para colaborar con ellos y llevar #Jaén a lo + alto.</t>
  </si>
  <si>
    <t>https://pbs.twimg.com/media/Dsq77oXWsAES0Vu.jpg</t>
  </si>
  <si>
    <t>Jaén, Andalucía</t>
  </si>
  <si>
    <t>Cuenta oficial de la Concejalía de Turismo del Ayuntamiento de #Jaén. Official Twitter Account of the Department of Tourism of Jaén #Spain.</t>
  </si>
  <si>
    <t>http://www.turjaen.org</t>
  </si>
  <si>
    <t>Mr. HAL</t>
  </si>
  <si>
    <t>Buenos días. Pedro Sánchez otra vez de vacaciones, ahora a Cuba, pero no se va a reunir con la “oposición” porque él es más de evitar pronunciarse sobre temas espinosos. Últimamente no hace más que visitar a dictadores, igual tenemos que empezar a preocuparnos de verdad.</t>
  </si>
  <si>
    <t>Cerca de Júpiter</t>
  </si>
  <si>
    <t>"... My god, it's full of stars"</t>
  </si>
  <si>
    <t>Ute Hopi</t>
  </si>
  <si>
    <t>Au pied de l'écharpe d’Iris</t>
  </si>
  <si>
    <t>Bio ? S’en tenir à l’anecdote sans aller à l’essentiel.</t>
  </si>
  <si>
    <t>FenixEstela</t>
  </si>
  <si>
    <t>Pedro Sánchez y Begoña Trum, perdón, Gómez ya están en Cuba. ¿ Cuando narices trabaja esta tipa en el trabajo tejido para ella ?</t>
  </si>
  <si>
    <t>Podría ceder, darme por vencida, pero entonces no sería yo. Vuelvo, con ganas. 🇪🇸🇪🇸🇪🇸</t>
  </si>
  <si>
    <t>ElNacional .cat</t>
  </si>
  <si>
    <t>"El varapalo de Bruselas al proyecto de presupuestos es la confirmación de que Pedro Sánchez estaba determinado desde un principio a tirar millas prorrogando los presupuestos del PP". La opinión de @jordibarbeta</t>
  </si>
  <si>
    <t>http://bit.ly/2Fz15gs</t>
  </si>
  <si>
    <t>Barcelona, Cataluña</t>
  </si>
  <si>
    <t>Última hora política y económica de Catalunya, España e internacional. Creado por José Antich. FB http://facebook.com/elnacionalcates/ En catalán @elnacionalcat</t>
  </si>
  <si>
    <t>http://www.elnacional.cat/es/</t>
  </si>
  <si>
    <t>http://bit.ly/2TC7qug</t>
  </si>
  <si>
    <t>Diego Valiño Seva</t>
  </si>
  <si>
    <t>Pedro Sánchez aguanta el pulso a May y vetará el Brexit si no hay cambios sobre Gibraltar:  vía @El_Pais</t>
  </si>
  <si>
    <t>https://bit.ly/2QgVqj5</t>
  </si>
  <si>
    <t>Oviedo/Uviéu, Asturias/Asturies</t>
  </si>
  <si>
    <t>Concejal en el @AytOviedo por el @GMSOviedo | Militante de la AMSO @PSOE_Oviedo | Adscrito a @ISPSOE_Asturias | Periodista | E-mail: diegovalino@oviedo.es</t>
  </si>
  <si>
    <t>https://es.linkedin.com/in/puxapali</t>
  </si>
  <si>
    <t>Llibertat</t>
  </si>
  <si>
    <t>Pedro Sánchez en Cuba y la derecha española haciendo el ridículo como siempre</t>
  </si>
  <si>
    <t>https://pbs.twimg.com/media/Dsq6-MxXgAAsFB6.jpg</t>
  </si>
  <si>
    <t>Pare, marit, ecologista, del barça, demòcrata, d'esquerres, catalanista. Independentista des del 20 sept. Justícia per sobre de lleis. #josocCDR</t>
  </si>
  <si>
    <t>Carmen Carbonell</t>
  </si>
  <si>
    <t>De verdad, desde mi ignorancia, que cojones tiene que exigir Pedro Sánchez sobre Gibraltar? Gibraltar es británico le pese a quién le pese. Los ingleses no nos lo robaron, nosotros lo vendimos. Así que no se que leches están reclamando.</t>
  </si>
  <si>
    <t>Sagunto</t>
  </si>
  <si>
    <t>Informática con alma de escritora. Tengo 2 blogs y poco tiempo para escribir. #diabetESP http://memoriasdeunadiabetica.blogspot.com.es y http://menxucp.blogspot.com.es</t>
  </si>
  <si>
    <t>http://memoriasdeunadiabetica.blogspot.com.es/</t>
  </si>
  <si>
    <t>TONY DELUCCA</t>
  </si>
  <si>
    <t>EL OKUPA DE LA MONCLOA FUE A VISITAR COMO TODO BUEN POPULISTA CASTRORUSO LA TIERRA DE SU JEFE MÁXIMO Y APROVECHÓ VER COMO QUEDARÁ ESPAÑA LUEGO DE SU GOBIERNO @sanchezcastejon @PSOE</t>
  </si>
  <si>
    <t>MIAMI USA - CARACAS</t>
  </si>
  <si>
    <t>Venezolano q ama a su país pero en verdadera democracia y libre critico de todo lo q le perjudica y daña viva VENEZUELA</t>
  </si>
  <si>
    <t>Hacía 32 años que un jefe de Gobierno español no pisaba suelo cubano. La visita de Pedro Sánchez @sanchezcastejon supone, sin duda, un avance en las relaciones bilaterales entre España y Cuba</t>
  </si>
  <si>
    <t>Maria Rivas</t>
  </si>
  <si>
    <t>Pedro Sánchez acudirá a Marbella el 27 para participar en un mitin junto a Susana Díaz  vía @marbellaconfi</t>
  </si>
  <si>
    <t>http://www.marbellaconfidencial.es/pedro-sanchez-volvera-a-participar-el-martes-27-en-la-campana-en-un-mitin-en-marbella-junto-a-susana-diaz-222354096/</t>
  </si>
  <si>
    <t>Madrid y Marbella</t>
  </si>
  <si>
    <t>Madrileña. Me gusta la historia, el arte, la lectura, perderme por cualquier ciudad y escaparme a Marbella. Socialista, del antiguo PSP de Tierno Galván.</t>
  </si>
  <si>
    <t>Raúl Julio Bator</t>
  </si>
  <si>
    <t>Pedro Sánchez , pone a la misma altura a Casado y Rufián, en él leguaje que expresan, por eso insisto en decir lo que he dicho en alguna ocasión, algo muy grave está pasando en España ...</t>
  </si>
  <si>
    <t>Comunidad Foral de Navarra, España</t>
  </si>
  <si>
    <t>Perito Judicial Inmobiliario.Administrador de fincas .Gestor Técnico. Experto en Fiscalidad Inmobiliaria.</t>
  </si>
  <si>
    <t>Forococherosano</t>
  </si>
  <si>
    <t>¿Por qué Pedro Sánchez veía delito de rebelión en mayo y ahora no?  vía @YouTube</t>
  </si>
  <si>
    <t>https://youtu.be/ZU_dMMGCQcw</t>
  </si>
  <si>
    <t>José Calderero</t>
  </si>
  <si>
    <t>Confirmación oficial: Pedro Sánchez viaja a Cuba para exhumar a Fidel Castro 😝</t>
  </si>
  <si>
    <t>Periodista. El Papa me contestó en su primer tweet y ahora tengo que seguir su consejo: https://goo.gl/bqcGLu</t>
  </si>
  <si>
    <t>http://www.alfayomega.es/author/jose-calderero</t>
  </si>
  <si>
    <t>mito ❄️</t>
  </si>
  <si>
    <t>¿Y Pedro Sánchez va a no firmar el tratado del #Brexit cuando va a ser incapaz de no verse con la oposición cubana por no disgustar al gobierno castrista? ¡Menos lobos!</t>
  </si>
  <si>
    <t>Si lo único que tienes es un martillo, creerás que todo a tu alrededor son clavos</t>
  </si>
  <si>
    <t>PKY13</t>
  </si>
  <si>
    <t>http://www.citizengo.org/hazteoir/166670-no-expolie-por-segunda-vez-archivo-salamanca?tc=tw&amp;tcid=52313837</t>
  </si>
  <si>
    <t>Alfonso Ussía le borra la sonrisa al 'ególatra y hortera' Pedro Sánchez mandándole de un sopapo al psiquiátrico</t>
  </si>
  <si>
    <t>http://www.periodistadigital.com/periodismo/prensa/2018/11/22/alfonso-ussia-borra-sonrisa-egolatra-sanchez-manda-volando-psiquiatrico.shtml</t>
  </si>
  <si>
    <t>david prieto</t>
  </si>
  <si>
    <t>tolchoks to everyone, the green shadow behind you....And,of course, madridista.</t>
  </si>
  <si>
    <t>Alejo Vidal-Quadras</t>
  </si>
  <si>
    <t>El nivel de ignominia que está dispuesto a alcanzar Pedro Sánchez con tal de seguir en La Moncloa no tiene límite. El próximo paso será que un Diputado de ERC orine en el Congreso sobre el banco azul. España necesita que se convoquen elecciones generales para desinfectarse.</t>
  </si>
  <si>
    <t>Catedrático jubilado. Ex Vicepresidente del Parlamento Europeo. Comprometido con la libertad y con la sociedad abierta. Sin adscripción partidista</t>
  </si>
  <si>
    <t>David</t>
  </si>
  <si>
    <t>El campeón de la contaminación Pedro Sánchez, otra día Marruecos ahora en cuba más vuelos que nunca , con suerte habrá aviones eléctricos antes de 2040!!!</t>
  </si>
  <si>
    <t>planet earth !</t>
  </si>
  <si>
    <t>out of all the things most , respect !</t>
  </si>
  <si>
    <t>flikxxi</t>
  </si>
  <si>
    <t>Sánchez asegura que el Gobierno "vetará" el acuerdo del Brexit si no defiend…  #TalkTextApp ()</t>
  </si>
  <si>
    <t>https://www.eldiario.es/politica/Pedro-Sanchez-Espana-Brexit-Gibraltar_0_838517223.html
https://goo.gl/JE0fuh</t>
  </si>
  <si>
    <t>Écija, Sevilla, España</t>
  </si>
  <si>
    <t>zen programmer and code geek, I'll code for fun for me and for money for you</t>
  </si>
  <si>
    <t>http://www.redninjastudio.com</t>
  </si>
  <si>
    <t>El 'okupa' Pedro Sánchez también hace el ridículo en Gibraltar</t>
  </si>
  <si>
    <t>http://www.periodistadigital.com/opinion/politica/2018/11/23/el-okupa-pedro-sanchez-tambien-hace-el-ridiculo-en-gibraltar.shtml</t>
  </si>
  <si>
    <t>Tower Defense</t>
  </si>
  <si>
    <t>Polònia - "Pedro Sánchez hace lo contrario de lo que dice".</t>
  </si>
  <si>
    <t>https://www.meneame.net/story/polonia-pedro-sanchez-hace-contrario-dice</t>
  </si>
  <si>
    <t>siempre en la izquierda</t>
  </si>
  <si>
    <t>Es absolutamente cierto que no existen las verdades absolutas</t>
  </si>
  <si>
    <t>Nacho Cardero</t>
  </si>
  <si>
    <t>Pedro Sánchez apuesta ahora por el superdomingo electoral y siembra miedo en los barones</t>
  </si>
  <si>
    <t>Director El Confidencial</t>
  </si>
  <si>
    <t>http://blogs.elconfidencial.com/espana/caza-mayor/</t>
  </si>
  <si>
    <t>Luis Lozano Alboreca</t>
  </si>
  <si>
    <t>Estoy seguro que Pedro Sánchez, que odia a todos los dictadores, irá a visitar la tumba del "democrata" Fidel Castro</t>
  </si>
  <si>
    <t>Daniel Arjona</t>
  </si>
  <si>
    <t>Lo de Pedro Sánchez como paladín del Gibraltar español y ariete contra los hijos de la Gran Bretaña debe haber dejado picuetos a los dothrakis de la derecha española. Todavía se carga el Brexit él solo.</t>
  </si>
  <si>
    <t>Jefe de Cultura en El Confidencial. Autor de 'La venganza de la realidad'. Yo también tuve una bio cursi pero me rehabilité.</t>
  </si>
  <si>
    <t>https://www.elconfidencial.com/autores/daniel-arjona-1129/</t>
  </si>
  <si>
    <t>Luis del Pino</t>
  </si>
  <si>
    <t>El PSOE en acción: "El Gobierno de Pedro Sánchez elige a la periodista separatista Mónica Terribas para moderar un debate sobre los 40 años de la Constitución":</t>
  </si>
  <si>
    <t>Director del programa de tertulia política Sin Complejos en http://esradio.libertaddigital.com/</t>
  </si>
  <si>
    <t>http://blogs.libertaddigital.com/enigmas-del-11-m/</t>
  </si>
  <si>
    <t>Iván  #GFBS👣</t>
  </si>
  <si>
    <t>Ciudad de Mexico</t>
  </si>
  <si>
    <t>La distancia no significa nada, cuando la persona significa TODO. #YoSoyAmigoDeLaLeona @Lucyfan007 @Saori__M #TeamUnidoS❤️</t>
  </si>
  <si>
    <t>http://teamunidos.blogspot.com</t>
  </si>
  <si>
    <t>antonio saez</t>
  </si>
  <si>
    <t>Mejor q Pedro Sánchez el viajero siga paseandose por Cuba May se la cuela 'La soberanía británica de Gibraltar será protegida' Sánchez enfatiza que vetará el Brexit si no hay cambios sobre Gibraltar | Internacional | EL PAÍS</t>
  </si>
  <si>
    <t>https://elpais.com/internacional/2018/11/22/actualidad/1542914000_295410.html</t>
  </si>
  <si>
    <t>Emprendimiento,Economía,Marketing,Formación, 2,0 .Mezclado no agitado #economía #emprender Abogado - MBA.(IE) http://blogs.hoy.es/economiaanticrisis/</t>
  </si>
  <si>
    <t>http://es.linkedin.com/pub/antonio-saez-tienza-lopez-barrantes/36/1a7/45</t>
  </si>
  <si>
    <t>O sea, un canon para mantener la financiación del comunismo ahora que han perdido Brasil. Esta claro  Leído en Periódicos Españoles  @periodicoespapp</t>
  </si>
  <si>
    <t>https://www.20minutos.es/noticia/3499202/0/pedro-sanchez-viaje-cuba-reunion-diaz-canel-habana-llega/
http://www.xn--periodicosespaoles-00b.es/descargar/</t>
  </si>
  <si>
    <t>EL PAÍS</t>
  </si>
  <si>
    <t>Las noticias más relevantes y la última hora, por los periodistas de EL PAÍS. Para informarse y conversar. Únete al sistema de alertas mediante mensaje directo</t>
  </si>
  <si>
    <t>http://www.elpais.com</t>
  </si>
  <si>
    <t>Moises Ogando</t>
  </si>
  <si>
    <t>CiberCuba: Pedro Sánchez no se reunirá con la disidencia cubana.</t>
  </si>
  <si>
    <t>https://google.com/newsstand/s/CBIwg9mP-T0</t>
  </si>
  <si>
    <t>Murcia</t>
  </si>
  <si>
    <t>Uruguay mi país de nacimiento, México y España de adopción.Escola de Samba Portela...</t>
  </si>
  <si>
    <t>vikuku</t>
  </si>
  <si>
    <t>Escupitajo de El País a la oposición cubana elogiando que Pedro Sánchez no se reúna con ellos | Periodista Digital</t>
  </si>
  <si>
    <t>Me flipa la aviación</t>
  </si>
  <si>
    <t>Viejo Tropo</t>
  </si>
  <si>
    <t>Deconstructor</t>
  </si>
  <si>
    <t>Cuando la Reina Sofía visitó un local clandestino en su viaje a Cuba  vía @VanityFairSpain</t>
  </si>
  <si>
    <t>Periodista Infiltrado</t>
  </si>
  <si>
    <t>Pedro Sánchez ha viajado a Cuba, paraíso de las libertades y la democracia, igual quiere importar el sistema de elecciones...</t>
  </si>
  <si>
    <t>Políticamente incorrecto, tengo tantas cosas que decir que si me callo me salen subtítulos</t>
  </si>
  <si>
    <t>Mercedes Mosquera</t>
  </si>
  <si>
    <t>El desgobierno de Pedro Sánchez trasciende nuestras fronteras. Los deméritos gestores de los socialistas han conseguido darle oxígeno a una líder tan cuestionada como Theresa May.</t>
  </si>
  <si>
    <t>https://okdiario.com/opinion/2018/11/23/sanchez-tambien-hace-ridiculo-gibraltar-3381812</t>
  </si>
  <si>
    <t>A Coruña, Galicia, España</t>
  </si>
  <si>
    <t>Especialista Universitaria en Protocolo, Comunicación e Imagen Corporativa. Una asturiana ESFP [Extrovertida, Sensorial, Emocional (Feeling), Perceptiva]</t>
  </si>
  <si>
    <t>https://m.facebook.com/?_rdr#!/mercedes.mosquerabango.7?ref=bookmark</t>
  </si>
  <si>
    <t>El tema económico concentrará las reuniones de @sanchezcastejon en #Cuba con el mandatario Miguel Díaz-Canel</t>
  </si>
  <si>
    <t>http://ow.ly/TdRj30mICFw</t>
  </si>
  <si>
    <t>https://pbs.twimg.com/media/Dsq0auzWsAI_MPz.jpg</t>
  </si>
  <si>
    <t>Mario Vallejo</t>
  </si>
  <si>
    <t>Presidente del gobierno español, Pedro Sanchez se reune en La Habana con Miguel Diaz Canle. No se reunira con la oposicion. REPORTE: NOTICIERO TV CUBANA</t>
  </si>
  <si>
    <t>https://www.facebook.com/mvallejotv/videos/258459978170645/</t>
  </si>
  <si>
    <t>News Reporter @Univision23. 6pm/11pm en #Noticias23</t>
  </si>
  <si>
    <t>http://facebook.com/mvallejotv</t>
  </si>
  <si>
    <t>Chus ....</t>
  </si>
  <si>
    <t>Pedro Sánchez insiste en la oposición de España sobre Gibraltar: "Si no hay cambios, vetaremos el 'brexit'"  vía @20m</t>
  </si>
  <si>
    <t>https://www.20minutos.es/noticia/3499204/0/pedro-sanchez-espana-gibraltar-si-no-hay-cambios-vetaremos-brexit/?utm_source=twitter.com&amp;utm_medium=socialshare&amp;utm_campaign=mobile_web</t>
  </si>
  <si>
    <t>#Salamanca #Donostia</t>
  </si>
  <si>
    <t>Hoy estás dónde tus pensamientos te han traído ; mañana estarás dónde tus pensamientos te lleven Pause 😏</t>
  </si>
  <si>
    <t>Javier Moya</t>
  </si>
  <si>
    <t>Los 'viejos partidos' contra los 'nuevos', otra vez. ¿Quién ganará? ¿El líder carismático que suple la falta de implantación o la maquinaria pesada capaz de arrasar en cada rincón más remoto? 'El superdomingo' será todo o nada. Hagan sus cuentas...</t>
  </si>
  <si>
    <t>Economics, Leadership and Governance Student at the University of Navarra. Cofounder and General Codirector Zurich Wake Up Congress</t>
  </si>
  <si>
    <t>http://www.wakeupcongress.com</t>
  </si>
  <si>
    <t>Andrés</t>
  </si>
  <si>
    <t>Incomprensible que Pedro Sánchez no mire las fechas antes de organizar un viaje. Su estadía en La Habana le coincide sin subseries en el Latino porque Industriales juega este fin de semana en Holguín. ¿Cómo es posible esta falta de sincronización?</t>
  </si>
  <si>
    <t xml:space="preserve">Socuéllamos, La Mancha. </t>
  </si>
  <si>
    <t>6+4+3=2</t>
  </si>
  <si>
    <t>Pechonaria</t>
  </si>
  <si>
    <t>El efecto llamada de Pedro Sánchez.</t>
  </si>
  <si>
    <t>Susanato Socialisto Andaluz</t>
  </si>
  <si>
    <t>PACO TORRECILLAS</t>
  </si>
  <si>
    <t>Economista, bancario, asesor financiero, demócrata, constitucionalista, ciudadano... y un enamorado de Almuñécar 🍊🍊🍊🍊🍊</t>
  </si>
  <si>
    <t>Ángel Manuel García</t>
  </si>
  <si>
    <t>Me atrevo a suponer que el interés de @sanchezcastejon en promover el portugués, más que en llamar la atención, respondería más a una consideración de ello como una manera de atentar contra España, remontándose a los tiempos de la Paz de Zamora. @HablamosE</t>
  </si>
  <si>
    <t>https://www.ahorainformacion.es/blog/pedro-sanchez-el-portugues-y-la-hispanofobia-recalcitrante/</t>
  </si>
  <si>
    <t>Extremadura, Spain</t>
  </si>
  <si>
    <t>💻 Computer Engineering (@UDIMA) | 🗣 @relibertad @copealmendralej @ActonInstitute @ahorainformac @mises @NavarraConfiden | @clubdeviernes | Paleolibertarian</t>
  </si>
  <si>
    <t>http://www.amgarciac.es</t>
  </si>
  <si>
    <t>EmbaCuba Italia</t>
  </si>
  <si>
    <t>El Pte #cubano @DiazCanelB ,recibió este jueves al presidente de #España ,Pedro Sánchez Pérez-Castejón quien realiza una visita oficial a #Cuba. @CubaMINREX @JoseCarlosRguez @OficPolCubaIta</t>
  </si>
  <si>
    <t>http://www.cubadebate.cu/noticias/2018/11/22/recibio-diaz-canel-al-presidente-del-gobierno-de-espana/#.W_eg59ThBkg</t>
  </si>
  <si>
    <t>https://pbs.twimg.com/media/Dsqw59fX4AAQPz3.jpg</t>
  </si>
  <si>
    <t>Italia</t>
  </si>
  <si>
    <t>Twitter oficial Embajada de Cuba🇨🇺en Italia / Profilo ufficiale Ambasciata della Repubblica di Cuba in Italia 🇮🇹 @CubaMINREX @JoseCarlosRguez</t>
  </si>
  <si>
    <t>RivasVaciamadridForo</t>
  </si>
  <si>
    <t>El Presidente del Gobierno, Pedro Sánchez, ve necesaria la conexión de Rivas con la M50 e informa de que el Ministerio de Fomento trabaja por hacerla efectiva. Se deben seguir dando pasos y continuar trabajando para que sea una realidad.</t>
  </si>
  <si>
    <t>https://www.facebook.com/427923557251120/posts/2085082568201869/</t>
  </si>
  <si>
    <t>Rivas Vaciamadrid</t>
  </si>
  <si>
    <t>https://www.facebook.com/Rivasvaciamadridforo</t>
  </si>
  <si>
    <t>santi orue</t>
  </si>
  <si>
    <t>Pedro Sánchez inicia una visita a Cuba sin citas con la disidencia</t>
  </si>
  <si>
    <t>https://pbs.twimg.com/media/DsqxEf2WwAAwjkS.jpg</t>
  </si>
  <si>
    <t>Humorista gráfico</t>
  </si>
  <si>
    <t>COPE</t>
  </si>
  <si>
    <t>#FOTOGALERÍA Descubre las mejores imágenes de Pedro Sánchez en su viaje a Cuba</t>
  </si>
  <si>
    <t>http://ww.cope.es/ziwwv2</t>
  </si>
  <si>
    <t>Está pasando, estás en COPE 📻 Toda la información 💻, el mejor equipo de la radio deportiva🏅, el mejor entretenimiento y podcast 🎙️</t>
  </si>
  <si>
    <t>http://www.cope.es</t>
  </si>
  <si>
    <t>El que quiere desenterrar a Franco se reúne con la cúpula de la dictadura castrista en el Palacio de la Revolución</t>
  </si>
  <si>
    <t>https://okdiario.com/espana/2018/11/23/pedro-sanchez-reune-cupula-del-regimen-cubano-palacio-revolucion-3382388#.W_ehiZnqi1E.twitter</t>
  </si>
  <si>
    <t>cubanosenmalaga</t>
  </si>
  <si>
    <t>Viaje de Pedro Sánchez, presidente del Gobierno de España a Cuba.</t>
  </si>
  <si>
    <t>https://pbs.twimg.com/media/DsqwZHBXgAA0cCa.jpg</t>
  </si>
  <si>
    <t>SER CULTOS PARA SER LIBRES. José Martí.</t>
  </si>
  <si>
    <t>Mar ➰</t>
  </si>
  <si>
    <t>La foto, lo resume todo. Pedro Sánchez se reúne con la cúpula de la dictadura castrista en el Palacio de la Revolución</t>
  </si>
  <si>
    <t>https://okdiario.com/espana/2018/11/23/pedro-sanchez-reune-cupula-del-regimen-cubano-palacio-revolucion-3382388#.W_eg4P_4MhU.twitter</t>
  </si>
  <si>
    <t>Si buscas resultados distintos, no hagas siempre lo mismo'</t>
  </si>
  <si>
    <t>Rogerdaflor</t>
  </si>
  <si>
    <t>Sánchez debería escucharla, no todo es hacer la rosca a los Castro. Opositora cubana Berta Soler insiste en ser escuchada por el presidente Pedro Sánchez  vía @DLasAmericas</t>
  </si>
  <si>
    <t>Desde la infancia he sido un buscador de la Verdad. No me interesa el mundo más que como un medio para viajar hacia ella.</t>
  </si>
  <si>
    <t>¿Qué os apostáis a que no? Sánchez tras hablar con May: "Vetaremos el Brexit si no hay cambios sobre Gibraltar"</t>
  </si>
  <si>
    <t>https://okdiario.com/espana/2018/11/22/pedro-sanchez-asegura-que-hablado-theresa-may-si-no-hay-cambios-vetaremos-brexit-3382282#.W_eg1L_ZNok.twitter</t>
  </si>
  <si>
    <t>❓#Las7Preguntas de @Ruben_Amon. SEGUNDA: "Pedro Sánchez no se habla con la oposición española, pero ¿tanto le costaba hablar en Cuba con la oposición cubana?" No te pierdas nada, síguenos #ENDIRECTO 👉</t>
  </si>
  <si>
    <t>https://pbs.twimg.com/media/DsqvY8XXgAI7_xQ.jpg</t>
  </si>
  <si>
    <t>Campo</t>
  </si>
  <si>
    <t>¿De qué vale la "justicia" cuando esté es su funcionamiento normal?Si hoy Pedro Sánchez hiciera lo mismo o algo similar pasarían otros 4 años hasta tener una sentencia.Rajoy vulneró la ley al gobernar diez meses sin control parlamentario | España | EL PAÍS</t>
  </si>
  <si>
    <t>https://elpais.com/politica/2018/11/22/actualidad/1542895067_131665.html</t>
  </si>
  <si>
    <t>José Campos</t>
  </si>
  <si>
    <t>El presidente chino, Xi Jinping, buscará en España mejorar su cooperación bilateral con encuentros con el Rey Felipe VI y el presidente del Gobierno, Pedro Sánchez, y aprovechará su viaje para fortalecer la alianza con la Unión Europea (UE) en asuntos internacionales.</t>
  </si>
  <si>
    <t>El castigo del crimen es la santidad de las naciones. #Libertad es Ley y conocerla y mejorarla perpetuamente la tarea de ser libres.</t>
  </si>
  <si>
    <t>https://www.facebook.com/profile.php?id=1008330925</t>
  </si>
  <si>
    <t>David López Vizcaíno</t>
  </si>
  <si>
    <t>- Pedro Sánchez prefiere al dictador comunista Díaz-Canel a las Damas de Blanco. - Pedro Sánchez es una vergüenza.</t>
  </si>
  <si>
    <t>Madrid (1970). Doctor en Geografía e Historia (1997). Profesor de Enseñanza Secundaria, escritor (Violeta, Cuatro mujeres y Ojos verdes) y bloguero.</t>
  </si>
  <si>
    <t>http://www.firmamentocultural.blogspot.com.es/</t>
  </si>
  <si>
    <t>Andrew Jackson 🏴󠁧󠁢󠁳󠁣󠁴󠁿</t>
  </si>
  <si>
    <t>Que Pedro Sánchez pretenda aparentar ser duro con relación a Gibraltar, cuándo con Cataluña es un blandengue, es para descojonarse.</t>
  </si>
  <si>
    <t>I am a quantum curve of possibilities. What I think, feel and do in every moment determines my present and my future.</t>
  </si>
  <si>
    <t>Miles de españoles critican a Sánchez y piden su dimisión tras cargarse al abogado del Estado: "¡Dimite ya traidor!"</t>
  </si>
  <si>
    <t>https://casoaislado.com/miles-espanoles-critican-pedro-sanchez-piden-dimision-tras-cargarse-al-abogado-del-estado-dimite-ya-traidor/</t>
  </si>
  <si>
    <t>Antena3Noticias</t>
  </si>
  <si>
    <t>VÍDEO | Pedro Sánchez, decidido a vetar el acuerdo para el Brexit que el Consejo Europeo debe adoptar este fin de semana ▶</t>
  </si>
  <si>
    <t>http://atres.red/hws1h1</t>
  </si>
  <si>
    <t>Toda la actualidad en http://www.antena3.com/noticias/</t>
  </si>
  <si>
    <t>http://www.antena3.com/noticias/</t>
  </si>
  <si>
    <t>Max</t>
  </si>
  <si>
    <t>Hoy es el dia q Pedro Sanchez nos ofrece un nuevo estatut. Esperando nervioso las rebajas del black friday!</t>
  </si>
  <si>
    <t>Por favor, salgan de España ordenadamente!!!! Orden! Orden!</t>
  </si>
  <si>
    <t>ju</t>
  </si>
  <si>
    <t>Cuando un tuit o una canción es terrorismo pero el intento de asesinar al presidente, no</t>
  </si>
  <si>
    <t>https://www.publico.es/espana/atentado-pedro-sanchez-tuit-cancion-terrorismo-asesinar-presidente-no.html</t>
  </si>
  <si>
    <t>Artés, República de Catalunya</t>
  </si>
  <si>
    <t>Aturada General Pacífica i Indefinida Per la llibertat! Per una República lliure de corrupció institucional!</t>
  </si>
  <si>
    <t>Buenos días a pesar de Pedro Sánchez y Miguel Díaz-Canel.</t>
  </si>
  <si>
    <t>La futura #leyhipotecaria que está elaborando el gobierno de Pedro Sánchez será más flexible y benigna con los ciudadanos. Así, los bancos no podrán proceder al embargo de una vivienda hasta que no haya acumulado al menos un año de cuotas impagadas</t>
  </si>
  <si>
    <t>Otro facha</t>
  </si>
  <si>
    <t>Pedro Sánchez piensa ya en elecciones en marzo pero presiona 'in extremis' al independentismo , por @KettyGarat  vía @libertaddigital</t>
  </si>
  <si>
    <t>https://www.libertaddigital.com/espana/2018-11-20/pedro-sanchez-piensa-ya-en-elecciones-en-marzo-pero-presiona-in-extremis-al-independentismo-1276628559/</t>
  </si>
  <si>
    <t>ESPAÑOL 🇪🇸 MADRIDISTA 🏆 Mourinho-zidanista; los principios de Mou, los métodos de Zizou.</t>
  </si>
  <si>
    <t>http://www.tabarnia.es</t>
  </si>
  <si>
    <t>EUROCOPS</t>
  </si>
  <si>
    <t>Pedro Sánchez, firme con Gibraltar: "Si no hay cambios, vetaremos el Brexit"  vía @indpcom</t>
  </si>
  <si>
    <t>https://www.elindependiente.com/politica/2018/11/22/sanchez-gibraltar-no-cambios-vetaremos-brexit/?utm_source=share_buttons&amp;utm_medium=twitter&amp;utm_campaign=social_share</t>
  </si>
  <si>
    <t>Cuenta no oficial dedicada a FFCCSE / FFCCS / FAS / VS.</t>
  </si>
  <si>
    <t>https://m.facebook.com/eurocops</t>
  </si>
  <si>
    <t>Pedro Sánchez no se reunirá en Cuba con la oposición, ni pedirá la libertad de los presos políticos, ni pedirá Democracia. Se limitará a besar la punta de la bota de la dictadura comunista.</t>
  </si>
  <si>
    <t>ERC pide a Pedro Sánchez que aguante, evite elecciones y espere su apoyo no ahora sino el próximo otoño: habrán pasado municipales y andaluzas, se habrá fallado la sentencia sobre los 'hechos de octubre' y algunos posibles condenados pedirán el indulto</t>
  </si>
  <si>
    <t>https://www.elconfidencial.com/espana/cataluna/2018-11-21/erc-pide-pedro-sanchez-evite-elecciones_1658806/?utm_source=twitter&amp;utm_medium=social&amp;utm_campaign=BotoneraWeb</t>
  </si>
  <si>
    <t>Kelvin Cristian Lora</t>
  </si>
  <si>
    <t>https://www.kenoticias.com/el-apoyo-a-las-empresas-y-la-cooperacion-cultural-centran-el-ultimo-dia-de-pedro-sanchez-en-cuba/</t>
  </si>
  <si>
    <t>https://pbs.twimg.com/media/DsqszrPV4AEXUds.jpg</t>
  </si>
  <si>
    <t>Santo Domingo, R.D.</t>
  </si>
  <si>
    <t>Periodista/Productor de Televisión.</t>
  </si>
  <si>
    <t>Manuelhuga</t>
  </si>
  <si>
    <t>Queda claro que Theresa May y Pedro Sánchez se llevan a partir un peñón.</t>
  </si>
  <si>
    <t>En algún lugar.</t>
  </si>
  <si>
    <t>Lee si te apetece, pero no malinterpretes.</t>
  </si>
  <si>
    <t>EFE Noticias</t>
  </si>
  <si>
    <t>Perfil oficial de la Agencia EFE, la primera agencia de noticias en español y la cuarta del mundo. Otros perfiles http://bit.ly/AgenciaEFE</t>
  </si>
  <si>
    <t>Toledo, España</t>
  </si>
  <si>
    <t>Carlos   Rojas B</t>
  </si>
  <si>
    <t>La Comunidad Europea va dejar como un perro votado al Fascista de Trump. Los Europeos van apoyar economicamente a Cuba y Venezuela del Bloqueo Economico impuesto por los EEUU.El Primer paso se dio entre el acuerdo bilateral entre Pedro Sanchez ( España) y Canel(Cuba).</t>
  </si>
  <si>
    <t>20minutos.es</t>
  </si>
  <si>
    <t>http://ver.20m.es/tzztm3</t>
  </si>
  <si>
    <t>Cuenta oficial de 20minutos, el medio social y ciudadano. Información, análisis y contacto personal con los lectores las 24 horas del día http://facebook.com/20minutos.es</t>
  </si>
  <si>
    <t>https://www.20minutos.es/</t>
  </si>
  <si>
    <t>Pedro Sánchez llega a Cuba para impulsar el papel de España en el nuevo tiempo de apertura  vía @eldiarioes</t>
  </si>
  <si>
    <t>https://www.eldiario.es/_31fac103</t>
  </si>
  <si>
    <t>juan nicolas</t>
  </si>
  <si>
    <t>Pedro Sánchez no verá a la oposición cubana para no desairar al castrismo en su viaje a la isla</t>
  </si>
  <si>
    <t>Carlos</t>
  </si>
  <si>
    <t>Amanece, y siguen los de siempre echando la culpa a Pedro Sánchez. Hay cosas que no cambian.</t>
  </si>
  <si>
    <t>Operador de calderas de alta presion. Operador de cuadro en planta de revalorización energética .</t>
  </si>
  <si>
    <t>Tu Asesor Global</t>
  </si>
  <si>
    <t>Pedro Sánchez en Cuba, un viaje sin precendentes en tres décadas. El presidente del Gobierno español tiende la mano al gobierno poscastrista de Díaz-Canel y trata de afianzar los fuertes lazos económicos que ya existen con la isla.  …</t>
  </si>
  <si>
    <t>http://bit.ly/2BsFFNM</t>
  </si>
  <si>
    <t>https://pbs.twimg.com/media/Dsqrs3XWwAEkd1a.jpg</t>
  </si>
  <si>
    <t>Asesoria de negocios, inversiones y Talento Humano. ¡Queremos seguir creciendo en venezuela!</t>
  </si>
  <si>
    <t>http://www.tuasesorglobal.com</t>
  </si>
  <si>
    <t>Pedro Sánchez en Cuba, un viaje sin precendentes en tres décadas.</t>
  </si>
  <si>
    <t>http://bit.ly/2AbadSc</t>
  </si>
  <si>
    <t>Se la han colado a Pedro Sánchez antes de las andaluzas y está cagado. ¿Sabéis qué pasa? No se puede estar VOLANDO 🛫🛫 todos los días creyendo que el mundo va a caer a tus pies. Vive en otra realidad, la de las fotos y los eslóganes. TT May Gibraltar RT @abc_mundo: Sánchez considera que no sería aceptable que el acuerdo se cierre sin el acuerdo de los 27</t>
  </si>
  <si>
    <t>https://twitter.com/abc_mundo/status/1065847818986942464
http://mundo.abc.es/tdgvo2</t>
  </si>
  <si>
    <t>euronews español</t>
  </si>
  <si>
    <t>Pedro Sánchez en Cuba, un viaje sin precendentes en tres décadas. El presidente del Gobierno español tiende la mano al gobierno poscastrista de Díaz-Canel y trata de afianzar los fuertes lazos económicos que ya existen con la isla.</t>
  </si>
  <si>
    <t>https://pbs.twimg.com/media/Dsqq1eSWkAA-ekH.jpg</t>
  </si>
  <si>
    <t>El canal de noticias más visto en Europa. En Facebook: http://eurone.ws/1bYle6E Instagram 📷: http://bit.ly/2F0qnTM</t>
  </si>
  <si>
    <t>http://es.euronews.com/</t>
  </si>
  <si>
    <t>https://pbs.twimg.com/media/DsqqenmWkAAz9dF.jpg</t>
  </si>
  <si>
    <t>Hily</t>
  </si>
  <si>
    <t>http://ver.20m.es/fpinu2</t>
  </si>
  <si>
    <t>Un día más sin rendirme</t>
  </si>
  <si>
    <t>Willermus 🏳️‍🌈</t>
  </si>
  <si>
    <t>Grande Pedro Sánchez enfrentándose a los balconeros</t>
  </si>
  <si>
    <t>https://pbs.twimg.com/media/DsqqVMBXcAABiBH.jpg</t>
  </si>
  <si>
    <t>Life imitates cinema http://adecine.wordpress.com</t>
  </si>
  <si>
    <t>https://www.instagram.com/will_llermo/</t>
  </si>
  <si>
    <t>Lima NewsWeek</t>
  </si>
  <si>
    <t>CUBA ESPAÑA - El apoyo a las empresas y la cooperación cultural centran el último día de Pedro Sánchez en Cuba</t>
  </si>
  <si>
    <t>http://ow.ly/Xku5101mKNH</t>
  </si>
  <si>
    <t>https://pbs.twimg.com/media/DsqqS_tXQAAXO2M.jpg</t>
  </si>
  <si>
    <t>Es La Mañana de FJL</t>
  </si>
  <si>
    <t>#ECONOMÍA💰 | Cuando la UE, la OCDE y el FMI no te creen algo estás haciendo mal. ✍️@SorianoDomingo explica en @libre_mercado el varapalo a los Presupuestos de Pedro Sánchez y las enmiendas a las cuentas del Gobierno.</t>
  </si>
  <si>
    <t>Juan Esplandiú, 13, Madrid</t>
  </si>
  <si>
    <t>Twitter OFICIAL del programa Es La Mañana de Federico, en esRadio. De Lunes a Viernes, entre las 6:00 y las 12:00. En Madrid en el 99.1 eslamanana@esradio.fm</t>
  </si>
  <si>
    <t>http://www.esradio.fm/es-la-manana-de-federico/</t>
  </si>
  <si>
    <t>Red Driver</t>
  </si>
  <si>
    <t>Pedro Sánchez y Susana Díaz finalmente compartirán acto de campaña el martes en Marbella  vía @opiniondemalaga</t>
  </si>
  <si>
    <t>https://www.laopiniondemalaga.es/marbella/2018/11/22/pedro-sanchez-susana-diaz-finalmente/1049288.html</t>
  </si>
  <si>
    <t>Historiador y Taxista</t>
  </si>
  <si>
    <t>Chos Melrose</t>
  </si>
  <si>
    <t>Anoche he soñado que Pedro Sánchez anunciaba la dimisión de Trump.</t>
  </si>
  <si>
    <t>pic.twitter.com/07IdjrDVI9</t>
  </si>
  <si>
    <t>La verdad está justo aquí adentro. Mira chica pues no sé.</t>
  </si>
  <si>
    <t>http://Instagram.com/chos1982</t>
  </si>
  <si>
    <t>Cafés por la República</t>
  </si>
  <si>
    <t>Carta abierta de la @omctorg a Pedro Sanchez, la fiscal general y el defensor del pueblo exigiendo la libertad inmediata y la retirada de los cargos contra @jcuixart y @jordialapreso RT @epaluzie: Molt important: carta oberta de la ⁦@omctorg⁩ a Pedro Sanchez, la fiscal general i el defensor del pueblo exigint la llibertat immediata i la retirada dels càrrecs contra ⁦@jcuixart⁩ i ⁦@jordialapreso⁩</t>
  </si>
  <si>
    <t>https://twitter.com/epaluzie/status/1065706962728431616
http://www.omct.org/monitoring-protection-mechanisms/urgent-interventions/spain/2018/11/d25127/</t>
  </si>
  <si>
    <t>Catalunya es una sociedad libre y plural. Invita a los amigos a tomar café porque no nos hace falta ahorrar en cafés. Sabemos sumar para la República.</t>
  </si>
  <si>
    <t>Paula Rodari</t>
  </si>
  <si>
    <t>La primera ministra ha encontrado en el Peñón una pequeña victoria q vender gracias a la inoperancia del Gobierno socialista. Sánchez ha dilapidado con su falta d credibilidad e influencia internacional la buena posición en la qRajoy había dejado a España</t>
  </si>
  <si>
    <t>https://bit.ly/2Rcls4t</t>
  </si>
  <si>
    <t>https://pbs.twimg.com/media/DsqnMufWoAAVH9D.jpg</t>
  </si>
  <si>
    <t>Vilagarcía de Arousa, España</t>
  </si>
  <si>
    <t>Mi twitter no sería el mismo si el tuyo no lo siguiera.</t>
  </si>
  <si>
    <t>Julio Roldán</t>
  </si>
  <si>
    <t>#Esplugues</t>
  </si>
  <si>
    <t>Padre. Arquitecto Técnico. Concejal Portavoz de Ciudadanos en Esplugues. Apostando por la convivencia y vuelta al “seny”</t>
  </si>
  <si>
    <t>http://blog-cs.com/espluguesdellobregat/</t>
  </si>
  <si>
    <t>El Cubanisimo60</t>
  </si>
  <si>
    <t>Xi Jinping efectuará una visita de Estado a España la próxima semana Se trata de la primera al más alto nivel desde hace 13 años El presidente de China será recibido por los Reyes y se reunirá con Pedro Sánchez y Manuela Carmena ,!!! Ver más en:</t>
  </si>
  <si>
    <t>http://www.rtve.es/n/1842361</t>
  </si>
  <si>
    <t>https://pbs.twimg.com/media/DsqlhGbWwAAZ1-c.jpg</t>
  </si>
  <si>
    <t>El Verger, España</t>
  </si>
  <si>
    <t>Soy ese PADRE que no me dejaron ser, todo mi existir va dedicado a mis 4 Hij@s, vean como quería educarles; Cristiano, del Barça y el PSOE Gracias a Dios ,!!!</t>
  </si>
  <si>
    <t>MCL</t>
  </si>
  <si>
    <t>Regis Iglesias. Portavoz del Movimiento Cristiano Liberación. Tribuna EL ESPAÑOL</t>
  </si>
  <si>
    <t>Habana (Cuba)</t>
  </si>
  <si>
    <t>Página oficial del Movimiento Cristiano Liberación</t>
  </si>
  <si>
    <t>http://ver.20m.es/dlw8r3</t>
  </si>
  <si>
    <t>Teresa Coll</t>
  </si>
  <si>
    <t>Católica, Monárquica, de derechas y del R. Madrid.</t>
  </si>
  <si>
    <t>That is Not a Game, Sirs</t>
  </si>
  <si>
    <t>🍿🍿🍿 Pedro Sánchez being on ego trip 🍿🍿🍿 #Gibraltar #Brexit RT @elnacionalcat: Sánchez s'oposa a l'acord del Brexit per Gibraltar i amenaça amb el veto</t>
  </si>
  <si>
    <t>https://twitter.com/elnacionalcat/status/1065842992571928576
https://www.elnacional.cat/ca/politica/sanchez-brexit-gibraltar-veto_327597_102.html</t>
  </si>
  <si>
    <t>Barcelona, Catalunya</t>
  </si>
  <si>
    <t>"Every man is guilty of all the good things he did not do." Humans need Respect, Freedom, Democracy, Empathy, Love.</t>
  </si>
  <si>
    <t>★ Sociedad, tecnología y medios</t>
  </si>
  <si>
    <t>Pedro Sánchez visita Cuba en pleno proceso de apertura económica</t>
  </si>
  <si>
    <t>http://www.t13.cl/noticia/mundo/pedro-sanchez-visita-cuba-pleno-proceso-apertura-economica</t>
  </si>
  <si>
    <t>La “nube” ☁</t>
  </si>
  <si>
    <t>Noticias sobre efectos sociales de la tecnología, #socialmedia, gestión de contenidos, deconstrucción medial y contingencia mundial.</t>
  </si>
  <si>
    <t>España y Cuba pactan un contacto anual en el que hablarán de derechos humanos La visita de Pedro Sánchez a Cuba, en imágenes Las claves del viaje, por Sagrario García-Mascaraque,!!! Ver más en:</t>
  </si>
  <si>
    <t>http://www.rtve.es/n/1842360</t>
  </si>
  <si>
    <t>https://pbs.twimg.com/media/Dsqkql6WkAIP2g4.jpg</t>
  </si>
  <si>
    <t>Fulgencio Barrado (cabeza de ratón)</t>
  </si>
  <si>
    <t>Hoy Pedro Sánchez no hará declaraciones porque estará preparando el listado de los países participantes en el Mundial España-Portugal-Marruecos Adolfo Suárez Madrid Barajas.</t>
  </si>
  <si>
    <t>Expongo libremente mi opinión sobre todas las cosas. Los juicios que emito dan la medida de mi entendimiento, más que de las cosas mismas.</t>
  </si>
  <si>
    <t>MONTESQUIEU-1956</t>
  </si>
  <si>
    <t>EUROPA-ESPAÑA.-</t>
  </si>
  <si>
    <t>POR LA LIBERTAD INDIVIDUAL Y ECONÓMICA.NO A LO POLÍTICAMENTE CORRECTO.BUSCANDO SIEMPRE LA VERDAD.DERECHO Y CRIMINOLOGÍA.</t>
  </si>
  <si>
    <t>http://www.sajimes.blogspot.com</t>
  </si>
  <si>
    <t>Jaime Ballestas</t>
  </si>
  <si>
    <t>Con Pedro Sánchez España no tiene gobierno, solo una agencia de viajes de turismo.</t>
  </si>
  <si>
    <t>donatiu8.blogspot.hu</t>
  </si>
  <si>
    <t>http://donatiu8.blogspot.hu</t>
  </si>
  <si>
    <t>Pedro Sánchez, jefe del gobierno español, inicia histórica visita a ....</t>
  </si>
  <si>
    <t>http://bit.ly/2Af0o5V</t>
  </si>
  <si>
    <t>Octavi Nonell  ||⭐||</t>
  </si>
  <si>
    <t>Castillos en el aire? Cómo y por qué Pedro Sánchez ha estropeado su experimento  Por Carlos Elordi</t>
  </si>
  <si>
    <t>https://www.eldiario.es/zonacritica/Pedro-Sanchez-estropeado-experimento_6_838226218.html</t>
  </si>
  <si>
    <t>https://pbs.twimg.com/media/Dsox0V7WkAA8IRM.jpg</t>
  </si>
  <si>
    <t>https://twitter.com/CristinaSegui_/status/1065657909940551681</t>
  </si>
  <si>
    <t>pic.twitter.com/5rVOlb6BMK</t>
  </si>
  <si>
    <t>Mataró</t>
  </si>
  <si>
    <t>Mataroní, independentista de @CridaNacional Implicat en fer de @MataroCapital i de Catalunya Estat. 'Carpe Diem'-'Donec Perficiam' http://instagram.com/octavi_nonell</t>
  </si>
  <si>
    <t>http://matarocapital.cat</t>
  </si>
  <si>
    <t>Sindicato O´MEGA</t>
  </si>
  <si>
    <t>El presidente se inclina ahora por juntar hasta seis urnas para que todo el partido se la juegue</t>
  </si>
  <si>
    <t>Galicia, España</t>
  </si>
  <si>
    <t>Sindicato Independiente de Facultativos Médicos, Psicólogos, Odontólogos y Farmacéuticos. Galician Independent Practitioners Trade Union</t>
  </si>
  <si>
    <t>http://www.o-mega.net</t>
  </si>
  <si>
    <t>EL TALAVERANO</t>
  </si>
  <si>
    <t>¯\_(ツ)_/¯ Pedro Sánchez: "ninguna democracia puede rendir tributo a un dictador"</t>
  </si>
  <si>
    <t>https://pbs.twimg.com/media/DsqjkNhXcAARIp-.jpg</t>
  </si>
  <si>
    <t>Talavera de la Reina, España</t>
  </si>
  <si>
    <t>En el asenso dormito. Si despierto, discordia. 🇪🇸 NO ME PISOTEES.</t>
  </si>
  <si>
    <t>Y después de Cuba, el presidente chino ➡ Xi Jinping se reunirá con Pedro Sánchez y el Rey en visita a España entre el 27 y el 29 de noviembre</t>
  </si>
  <si>
    <t>http://ww.cope.es/rwcgo1</t>
  </si>
  <si>
    <t>Hermann Tertsch</t>
  </si>
  <si>
    <t>Llegada del avión de Pedro Sánchez a Valladolid...desde Madrid. Nadie sabe si el inmenso gasto de diferencia con un AVE los compensan 5 minutos de su precioso tiempo o su seguridad tanto más cara que la de sus antecesores. Si lo seguro es que esté en el aire, cómprenle un globo. RT @marubimo: Aterrizaje en Valladolid del JETA @sanchezcastejon y su ralea. Para un viaje que podría haber hecho en el AVE en 50 min, tiene que movilizar toda esa logística con el dineral que cuesta y mandar su coche blindado allí para recogerle. Cómo se nota que no es suyo el dinero!</t>
  </si>
  <si>
    <t>https://twitter.com/marubimo/status/1065649428726460416</t>
  </si>
  <si>
    <t>pic.twitter.com/f6bMYwQzm0</t>
  </si>
  <si>
    <t>Periodista, ABC. Siempre razonablemente estupefacto.</t>
  </si>
  <si>
    <t>TOUR EIFFEL WORLD NEWS 🇫🇷🇪🇺🌟🌟</t>
  </si>
  <si>
    <t>Via @euronewsfr : Cuba : visite historique de Pedro Sanchez</t>
  </si>
  <si>
    <t>Paris, France</t>
  </si>
  <si>
    <t>TOURISME⭐HÔTELLERIE🌟 RESTAURATION⭐THE FASHION🌟 POLITIQUE INTERNATIONALE🌟 #SOLIDARITÉ POUR LUTTER CONTRE LA MISÈRE EN EUROPE🇪🇺 EN AFRIQUE ET DANS LE MONDE</t>
  </si>
  <si>
    <t>Silvia Velazquez</t>
  </si>
  <si>
    <t>Visita histórica a Cuba de Pedro Sánchez, jefe de gobierno español</t>
  </si>
  <si>
    <t>http://www.jornada.com.mx/ultimas/2018/11/22/llega-pedro-sanchez-a-cuba-en-historica-visita-9864.html</t>
  </si>
  <si>
    <t>Mexico, DF</t>
  </si>
  <si>
    <t>Buscando Syndicat et sexualité, Unions and sexuality, Sindicalismo y sexualidad. Movimientos estudiantiles. CGH. Studiantil movement</t>
  </si>
  <si>
    <t>http://silviavelazquezmiranda.blogspot.com</t>
  </si>
  <si>
    <t>maria lurdes #cuba</t>
  </si>
  <si>
    <t>pedro sanchez,el Nuevo conquistador d CUBA.#INMORAL</t>
  </si>
  <si>
    <t>florida</t>
  </si>
  <si>
    <t>Nieta de un anticastrista . Exiliada y mi lema es ,Prohibido olvidar.</t>
  </si>
  <si>
    <t>INMA GC</t>
  </si>
  <si>
    <t>Pedro Sánchez no verá a la oposición cubana para no desairar al castrismo en su viaje a la isla. Claro que si guapi...tú sólo tienes que reunirte con los dictadores de izquierdas, total es a eso a lo que nos estáis llevando tú y tus amigos  vía @elmundoes</t>
  </si>
  <si>
    <t>Apasionada en lo que hago y fiel a mi gente. Madrileña, española, europea y ciudadana del mundo y por supuesto.........del Atlético de Madrid 🇪🇸🍊🍊🍊🇪🇸</t>
  </si>
  <si>
    <t>Las claves del viaje histórico de Pedro Sánchez a Cuba</t>
  </si>
  <si>
    <t>https://goo.gl/ZCUo7w</t>
  </si>
  <si>
    <t>https://pbs.twimg.com/media/DsnXQ12XQAMVLRH.jpg</t>
  </si>
  <si>
    <t>Ivonne 🇪🇸🇨🇺</t>
  </si>
  <si>
    <t>Sánchez exige disculpas a Casado por el escupitajo de ERC a Borrell</t>
  </si>
  <si>
    <t>http://bit.ly/2R3veFE</t>
  </si>
  <si>
    <t>Las Palmas de GC, España</t>
  </si>
  <si>
    <t>Soy parte de un legado que es la vida y como tal la venero y respeto. Nací cubana🇨🇺, me fui al exilio a la tierra de mis bisabuelos que ahora es mi tierra🇪🇸</t>
  </si>
  <si>
    <t>T13</t>
  </si>
  <si>
    <t>🌎 Pedro Sánchez visita Cuba en pleno proceso de apertura económica »</t>
  </si>
  <si>
    <t>http://t13.cl/278468</t>
  </si>
  <si>
    <t>https://pbs.twimg.com/media/DsqckCOW0AE2sIm.jpg</t>
  </si>
  <si>
    <t>Cuenta oficial de las plataformas informativas del Departamento de Prensa de Canal 13.</t>
  </si>
  <si>
    <t>http://www.T13.cl</t>
  </si>
  <si>
    <t>Francisco</t>
  </si>
  <si>
    <t>Un presidente del gobierno español visita #Cuba por primera vez en 32 años</t>
  </si>
  <si>
    <t>https://cnn.it/2OYpGL1</t>
  </si>
  <si>
    <t>Toluca, México</t>
  </si>
  <si>
    <t>#YoSoyAmigoDeLaLeona @LIZ_GFBS @Nena_Fan1 @Lucyfan007 @Leona_Despierta🦁@Saori__M #TeamUnidoS❤️#GFBS</t>
  </si>
  <si>
    <t>P Familia y Vida</t>
  </si>
  <si>
    <t>Sr. Pedro Sánchez: ¿Es lo mismo que sólo España empuje por la cosoberania de Gibraltar que 27 países? ¿Por qué esta obsesionado en renunciar a Europa, cuando estamos permanentemente reclamando la ayuda de la Unión Europea para la inmigración? ¿De verdad le importan las personas?</t>
  </si>
  <si>
    <t>https://pbs.twimg.com/media/DsqfBZDXoAAjoeO.jpg</t>
  </si>
  <si>
    <t>No es q sólo defendamos la familia y la vida, defendemos que toda ley contemple estos valores como prioritarios. Twitter Oficial</t>
  </si>
  <si>
    <t>http://www.partidofamiliayvida.es</t>
  </si>
  <si>
    <t>CNN en Español</t>
  </si>
  <si>
    <t>En todas partes</t>
  </si>
  <si>
    <t>CNN en Español es tu principal fuente de información y breaking news. Cubrimos las noticias de América Latina y el resto del mundo. Vive la noticia.</t>
  </si>
  <si>
    <t>http://cnnespanol.cnn.com</t>
  </si>
  <si>
    <t>Polònia - "Pedro Sánchez hace lo contrario de lo que dice"</t>
  </si>
  <si>
    <t>FactorNoticia</t>
  </si>
  <si>
    <t>Polònia – “Pedro Sánchez hace lo contrario de lo que dice”</t>
  </si>
  <si>
    <t>http://factornoticia.com/2018/11/22/polonia-pedro-sanchez-hace-lo-contrario-de-lo-que-dice/</t>
  </si>
  <si>
    <t>Noticias, Entretenimiento, Política, Tecnología, Opinión, Glamour, Todo pensamiento tiene un espacio en FactorNoticia</t>
  </si>
  <si>
    <t>http://www.factornoticia.com</t>
  </si>
  <si>
    <t>FactorNoticia Vial</t>
  </si>
  <si>
    <t>Noticias, Reportes sobre Tráfico, Denuncia Ciudadana, Asaltos visitanos http://factornoticia.com @factor_noticia mándanos tus denuncias DM</t>
  </si>
  <si>
    <t>cacahuetefeliz</t>
  </si>
  <si>
    <t>https://www.youtube.com/watch?v=Kg_kxZz8vvQ</t>
  </si>
  <si>
    <t>Señor Bombín</t>
  </si>
  <si>
    <t>https://pbs.twimg.com/media/DsqdZKeXQAUm0YP.jpg</t>
  </si>
  <si>
    <t>◀️🔼▶️🔽 Eternal Student, Addicted to Literature, to Friends and in Love with my Cat and The D∅ 👟 💣 🕳️</t>
  </si>
  <si>
    <t>ferlian</t>
  </si>
  <si>
    <t>Pedro Sanchez es cumlaude en cinismo Lo mismo exhuma el cadaver de un dictador que visita y rinde pleitesia a otro dictador en Cuba.</t>
  </si>
  <si>
    <t>Marisela de Bayamo</t>
  </si>
  <si>
    <t>El Presidente de los Consejos de Estado y de Ministros Miguel Díaz Canel @DiazCanelB recibió al Presidente del Gobierno del reino de España Pedro Sánchez Pérez Castejón, quien realiza una visita oficial a #Cuba RT @lauralop2002es1: El Presidente de los Consejos de Estado y de Ministros Miguel Díaz Canel @DiazCanelB recibió al Presidente del Gobierno del reino de España Pedro Sánchez Pérez Castejón, quien realiza una visita oficial a #Cuba</t>
  </si>
  <si>
    <t>https://twitter.com/lauralop2002es1/status/1065776994103803904</t>
  </si>
  <si>
    <t>https://pbs.twimg.com/media/DspmddpVAAEfn33.jpg</t>
  </si>
  <si>
    <t>cubana, bayamesa, periodista, residente en la ciudad de Bayamo http://lapresacuba.wordpress.com/</t>
  </si>
  <si>
    <t>http://comentando05.blogspot.com/</t>
  </si>
  <si>
    <t>InfoTucuman</t>
  </si>
  <si>
    <t>Pedro Sánchez viajó a Cuba para una histórica visita y se reunirá con Diaz-Canel</t>
  </si>
  <si>
    <t>https://ift.tt/2zoryb0</t>
  </si>
  <si>
    <t>Tucumán, Argentina</t>
  </si>
  <si>
    <t>Portal de Noticias. Desde Tucumán, por tucumanos y tucumanas. Plural y diferente.</t>
  </si>
  <si>
    <t>https://infotucuman.com</t>
  </si>
  <si>
    <t>AFP TV LATINOAMÉRICA</t>
  </si>
  <si>
    <t>Pedro Sánchez visita Cuba en medio de apertura económica #AFP</t>
  </si>
  <si>
    <t>http://u.afp.com/oVjZ</t>
  </si>
  <si>
    <t>https://pbs.twimg.com/media/Dsqc40TX4AE-2hi.jpg</t>
  </si>
  <si>
    <t>Around the world</t>
  </si>
  <si>
    <t>Las noticias y las historias del mundo con el aporte de los periodistas de @AFP en 150 países. Alertas y breaking news en video para América Latina</t>
  </si>
  <si>
    <t>https://www.youtube.com/user/afpes/featured</t>
  </si>
  <si>
    <t>La Bolsa En Accion</t>
  </si>
  <si>
    <t>TERRIBLE !! Por esto, Pedro Sanchez se va a Cuba, para desviar la coacción a los jueces y poder salvar a los golpistas. El abogado del Estado purgado por la ministra de Justicia se negó a "firmar un papel que no hizo"  vía @elmundoes</t>
  </si>
  <si>
    <t>INCLUSO LA TORRE MAS ALTA EMPIEZA EN EL SUELO Bienvenido // contacto labolsaenaccion@Gmail.com //</t>
  </si>
  <si>
    <t>http://labolsaenaccion.blogspot.com.es/</t>
  </si>
  <si>
    <t>Pedro Sánchez visita Cuba en pleno proceso de apertura económica.</t>
  </si>
  <si>
    <t>http://bit.ly/2AgY7aa</t>
  </si>
  <si>
    <t>Menéame noticias</t>
  </si>
  <si>
    <t>http://www.meneame.net/story/polonia-pedro-sanchez-hace-contrario-dice</t>
  </si>
  <si>
    <t>https://pbs.twimg.com/media/DsqcS9vXoAAPE7I.jpg</t>
  </si>
  <si>
    <t>Mallorca</t>
  </si>
  <si>
    <t>Menéame (oficial). Promoción social de noticias. Cuenta que sólo publica las noticias que llegan a portada.</t>
  </si>
  <si>
    <t>http://meneame.net</t>
  </si>
  <si>
    <t>euronews en français</t>
  </si>
  <si>
    <t>#Cuba : visite historique de Pedro Sanchez</t>
  </si>
  <si>
    <t>http://bit.ly/2S9Jmxr</t>
  </si>
  <si>
    <t>https://pbs.twimg.com/media/Dsqbp-nXcAEZpjd.jpg</t>
  </si>
  <si>
    <t>Europe</t>
  </si>
  <si>
    <t>Notre mission : donner à chacun la capacité de se forger sa propre opinion en proposant une grande diversité de points de vue. #AllViews</t>
  </si>
  <si>
    <t>http://fr.euronews.com</t>
  </si>
  <si>
    <t>❝Juan Martín❞ 🇪🇸 🇪🇺</t>
  </si>
  <si>
    <t>No me extraña que Pedro Sánchez esté moviendo cielo y tierra para eliminar este vídeo.</t>
  </si>
  <si>
    <t>pic.twitter.com/mHo828sffM</t>
  </si>
  <si>
    <t>Alcalá de Henares</t>
  </si>
  <si>
    <t>#filosofía 💯 http://youtube.com/JoanMartínValls http://acontecimientos9.blogspot.com http://lascosasclaras3.blogspot.com http://historiasrelevantess.blogspot.com</t>
  </si>
  <si>
    <t>https://peliculasdeactualidad.wordpress.com</t>
  </si>
  <si>
    <t>https://okdiario.com/espana/2018/11/21/sanchez-mando-coche-oficial-vacio-valladolid-hacer-8-kms-del-aeropuerto-ciudad-3377374#.W_eLRJeypmB.twitter</t>
  </si>
  <si>
    <t>TIERRA Y VOZ ESPAÑA</t>
  </si>
  <si>
    <t>May advierte a Pedro Sánchez de que protegerá la "soberanía británica" de Gibraltar  vía @elmundoes</t>
  </si>
  <si>
    <t>Talavera de la Reina España</t>
  </si>
  <si>
    <t>Nuestra tierra y voz, que no la lapiden. ¡¡ Viva!!</t>
  </si>
  <si>
    <t>https://pbs.twimg.com/media/DsqZsPpVsAAiaPP.jpg</t>
  </si>
  <si>
    <t>Prensa Cubana</t>
  </si>
  <si>
    <t>#JuventudRebelde: Pedro Sánchez en La #Habana, historia y cooperación  #Cuba</t>
  </si>
  <si>
    <t>https://goo.gl/x3jnE6</t>
  </si>
  <si>
    <t>Medios de Prensa de la Revolución Cubana.</t>
  </si>
  <si>
    <t>http://www.cubadebate.cu/prensa-cuba/</t>
  </si>
  <si>
    <t>El Correo de Pozuelo</t>
  </si>
  <si>
    <t>Desprestigio de España: La obsesión de Pedro Sánchez por dar titulares le lleva a hacer el ridículo al proponer un mundial de fútbol a Marruecos en el que también participaría Portugal</t>
  </si>
  <si>
    <t>https://elcorreodepozuelo.com/2018/11/23/desprestigio-de-espana-la-obsesion-de-pedro-sanchez-por-dar-titulares-le-lleva-a-hacer-el-ridiculo-al-proponer-un-mundial-de-futbol-a-marruecos-en-el-que-tambien-participaria-portugal/</t>
  </si>
  <si>
    <t>Pozuelo de Alarcón (Madrid)</t>
  </si>
  <si>
    <t>El periódico de El Capitán Possuelo. Cuenta oficial.</t>
  </si>
  <si>
    <t>http://www.elcorreodepozuelo.com</t>
  </si>
  <si>
    <t>https://www.elconfidencial.com/espana/2018-11-23/pedro-sanchez-adelanto-electoral-superdomingo-barones_1663322/?utm_source=twitter&amp;utm_medium=social&amp;utm_campaign=NacionalDiarioAutomatico</t>
  </si>
  <si>
    <t>Futbol Total</t>
  </si>
  <si>
    <t>España, Portugal y Marruecos van por sede del Mundial: Valladolid. Los jefes de Gobierno de España, Pedro Sánchez, y de Portugal, Antonio Costas, confirmaron ayer que ambos países junto con Marruecos aspiran a ser sede de la Copa Mundial de Futbol 2030, la primera a celebrarse…</t>
  </si>
  <si>
    <t>Aqui y Aya</t>
  </si>
  <si>
    <t>Toda la información del futbol nacional e internacional...</t>
  </si>
  <si>
    <t>Josean Dur</t>
  </si>
  <si>
    <t>Yadisney Gonzalez</t>
  </si>
  <si>
    <t>Encabezan Díaz-Canel y Pedro Sánchez firma de memorandos #SomosCuba</t>
  </si>
  <si>
    <t>http://www.radioreloj.cu/es/destacadas/encabezan-diaz-canel-pedro-sanchez-firma-memorandos-fotos/</t>
  </si>
  <si>
    <t>Soy una joven 100% cubana, vivo en Sancti Spíritus. trabajo en Joven Club</t>
  </si>
  <si>
    <t>Layetano</t>
  </si>
  <si>
    <t>Barcelona-España, (valga la redundancia).</t>
  </si>
  <si>
    <t>Lisa de Perez</t>
  </si>
  <si>
    <t>Abogada (en reposo). Republicana, crítica ,luchadora,La crueldad, como cualquier otro vicio, no requiere ningún motivo para ser practicada, apenas oportunidad.</t>
  </si>
  <si>
    <t>RTn #Madrid</t>
  </si>
  <si>
    <t>#Madrid Las promesas para Madrid que Pedro Sánchez ha hecho a Garrido</t>
  </si>
  <si>
    <t>https://ift.tt/2zn7Egl</t>
  </si>
  <si>
    <t>Noticias de #Madrid y sus distritos: Centro, #Arganzuela, #Retiro, #Salamanca, #Chamartín, #Tetuán, #Chamberí, #Fuencarral, #Moncloa, Latina, Carabanchel, Usera</t>
  </si>
  <si>
    <t>http://bit.ly/RTn_SocialPubli</t>
  </si>
  <si>
    <t>Ernesto Menchaca</t>
  </si>
  <si>
    <t>Encabezan Díaz-Canel y Pedro Sánchez firma de memorandos (+Fotos)</t>
  </si>
  <si>
    <t>https://ift.tt/2S5nXWb</t>
  </si>
  <si>
    <t>Manuel Alfredo</t>
  </si>
  <si>
    <t>Encabezan @DiazCanelB y Pedro Sánchez firma de memorandos + #Fotos</t>
  </si>
  <si>
    <t>✎ Msc. #Ciencias de la #Comunicación | #Comunicador #Hipermedia en @Radio_Cubana y @RadioRelojCuba ☭ Militante @PartidoPCC #Cuba ☭ 🇨🇺</t>
  </si>
  <si>
    <t>http://www.radiocubana.cu/</t>
  </si>
  <si>
    <t>OWWNews</t>
  </si>
  <si>
    <t>http://owwnews.com/pedro-sanchez-llega-a-la-habana-para-su-encuentro-con-diaz-canel/</t>
  </si>
  <si>
    <t>http://www.owwnews.com</t>
  </si>
  <si>
    <t>CMKX Radio Bayamo</t>
  </si>
  <si>
    <t>Uno de los documentos, cuya rúbrica corrió a cargo del canciller español, Josep Borrell, y su homólogo cubano, Bruno Rodríguez, prevé el establecimiento de consultas bilaterales;...</t>
  </si>
  <si>
    <t>Bayamo, Granma, Cuba.</t>
  </si>
  <si>
    <t>Emisora Provincial de Radio en Granma. Más de 60 años de experiencia en la radiodifusión. Funge además como planta matriz de cinco emisoras municipales.</t>
  </si>
  <si>
    <t>http://www.radiobayamo.icrt.cu</t>
  </si>
  <si>
    <t>Sánchez contra los barones II: la apuesta por el 'superdomingo' augura tensión en el PSOE  Rafael Méndez</t>
  </si>
  <si>
    <t>https://ift.tt/2DDE8WE</t>
  </si>
  <si>
    <t>Jaume Barberà</t>
  </si>
  <si>
    <t>Catalonia. Europe.</t>
  </si>
  <si>
    <t>Journalist. "Magical Realism is defined as what happens when a highly detailed, realistic setting is invaded by something too strange to believe". (Narcos)</t>
  </si>
  <si>
    <t>Alien Fernández</t>
  </si>
  <si>
    <t>Video: Cuba: Pedro Sánchez y Miguel Díaz-Canel se reúnen en La Habana</t>
  </si>
  <si>
    <t>http://bit.ly/2OYL4jg</t>
  </si>
  <si>
    <t>FRONTERA</t>
  </si>
  <si>
    <t>🇪🇸🇨🇺 Pedro Sánchez realiza encuentro bilateral en Cuba; se reúne con Miguel Díaz-Canel.  #FronteraInfo</t>
  </si>
  <si>
    <t>http://tinyurl.com/y82bxjyz</t>
  </si>
  <si>
    <t>https://pbs.twimg.com/media/DsqQMxlXcAAWxdn.jpg</t>
  </si>
  <si>
    <t>Tijuana, Baja California</t>
  </si>
  <si>
    <t>Diario Independiente de Tijuana</t>
  </si>
  <si>
    <t>http://www.frontera.info</t>
  </si>
  <si>
    <t>EL IMPARCIAL</t>
  </si>
  <si>
    <t>🇪🇸🇨🇺 Pedro Sánchez se reúne con su homólogo en Cuba, Miguel Díaz-Canel; firman dos memorandos.  #ELIMPARCIAL</t>
  </si>
  <si>
    <t>http://tinyurl.com/ycolus53</t>
  </si>
  <si>
    <t>https://pbs.twimg.com/media/DsqQMkjXgAAh3SA.jpg</t>
  </si>
  <si>
    <t>Hermosillo, Sonora</t>
  </si>
  <si>
    <t>📸Instagram: http://tinyurl.com/y7xfdbp4 🤳Facebook: http://tinyurl.com/y7fekekl WhatsApp: 6623001774 📺YouTube: http://tinyurl.com/yb3avmp5</t>
  </si>
  <si>
    <t>http://www.elimparcial.com</t>
  </si>
  <si>
    <t>https://www.elperiodico.com/es/politica/20181122/pnv-arranca-pedro-sanchez-competencias-para-euskadi-7162799</t>
  </si>
  <si>
    <t>teleSUR Cuba</t>
  </si>
  <si>
    <t>Somos la Señal Informativa de América Latina</t>
  </si>
  <si>
    <t>Radio Reloj, Cuba</t>
  </si>
  <si>
    <t>El presidente #cubano, @DiazCanelB, y el presidente del Gobierno de #España, @SanchezCastejon, encabezaron este jueves en La #Habana la firma de dos memorandos entre ambas naciones</t>
  </si>
  <si>
    <t>https://pbs.twimg.com/media/DsqOu43XQAUipSx.jpg</t>
  </si>
  <si>
    <t>Somos @RadioRelojCuba El canal de #información continua más antiguo del mundo desde La #Habana, #Cuba, con la #Noticia en #1Minuto 🇨🇺 @RadioRelojCuban</t>
  </si>
  <si>
    <t>http://www.radioreloj.cu/</t>
  </si>
  <si>
    <t>@EmbaCuba_SriLanka</t>
  </si>
  <si>
    <t>El Presidente de los Consejos de Estado y de Ministros, @DiazCanelB, recibió al presidente del Gobierno del Reino de #España, excelentísimo señor Pedro Sánchez Pérez-Castejón #Cuba @CubaMINREX @Granma_Digital</t>
  </si>
  <si>
    <t>https://pbs.twimg.com/media/DsqOoSkWoAAHN4h.jpg</t>
  </si>
  <si>
    <t>El Portaluco de Antonio Mora</t>
  </si>
  <si>
    <t>Pedro Sánchez llega a Cuba para normalizar las relaciones</t>
  </si>
  <si>
    <t>http://dlvr.it/QrvQjw</t>
  </si>
  <si>
    <t>Santander (España)</t>
  </si>
  <si>
    <t>Revista cabecera del GRUPO24HORAS con, debates, opinión, cultura, turismo, comic, cine, video y mas editada por Antonio Mora - Santander - Santiago de Cuba</t>
  </si>
  <si>
    <t>http://www.elportaluco.com</t>
  </si>
  <si>
    <t>Enrique Ferro</t>
  </si>
  <si>
    <t>http://bit.ly/2S9vfrJ</t>
  </si>
  <si>
    <t>Yander Zamora</t>
  </si>
  <si>
    <t>LA HABANA (CUBA), 22/11/2018.- El presidente español, Pedro Sánchez (i), y su esposa María Begoña Gómez (d), descienden del avión luego de su arribo hoy, jueves 22 de noviembre de 2018, a…</t>
  </si>
  <si>
    <t>https://www.instagram.com/p/BqgiKgBhNiQ/?utm_source=ig_twitter_share&amp;igshid=1a9s86xvea7xa</t>
  </si>
  <si>
    <t>Mientras a unos les asustan los monstruos o la oscuridad, a mí me atormenta en sueños no tener con qué hacer una foto si cae un ovni.</t>
  </si>
  <si>
    <t>http://www.yanderzamora.com</t>
  </si>
  <si>
    <t>https://pbs.twimg.com/media/Dsp8s58WkAAWXiY.jpg</t>
  </si>
  <si>
    <t>Arturo Del Hierro</t>
  </si>
  <si>
    <t>Pedro Sánchez y Díaz Canel acuerdan en La Habana</t>
  </si>
  <si>
    <t>Mari Carmen #FreeTabarnia #SanchezDimision</t>
  </si>
  <si>
    <t>http://hilodirecto.com.mx/pedro-sanchez-y-diaz-canel-acuerdan-en-la-habana/</t>
  </si>
  <si>
    <t>https://pbs.twimg.com/media/DsqKwyyU8AEAyE9.jpg</t>
  </si>
  <si>
    <t>Juarez / El Paso</t>
  </si>
  <si>
    <t>Productor de HILO DIRECTO , Maestro en IADA de la UACJ</t>
  </si>
  <si>
    <t>http://www.hilodirecto.com</t>
  </si>
  <si>
    <t>Excepto Dios, nadie es lo suficientemente importante en tu vida para amargártela. ( Pedro Altuna)</t>
  </si>
  <si>
    <t>Helida Medrano</t>
  </si>
  <si>
    <t>http://dlvr.it/QrvPGG</t>
  </si>
  <si>
    <t>https://pbs.twimg.com/media/DsqKqqTUcAA0WRE.jpg</t>
  </si>
  <si>
    <t>Estados Unidos</t>
  </si>
  <si>
    <t>La gente normal siempre deja algo que desear.</t>
  </si>
  <si>
    <t>https://pbs.twimg.com/media/DsqJvc2W0AAWylH.jpg</t>
  </si>
  <si>
    <t>https://pbs.twimg.com/media/DsqJEVfWwAUY1hP.jpg</t>
  </si>
  <si>
    <t>ResistenciaVenezuela</t>
  </si>
  <si>
    <t>Detienen a un “lobo solitario” que planeaba matar a Pedro Sánchez</t>
  </si>
  <si>
    <t>https://buff.ly/2QvJ6Zc</t>
  </si>
  <si>
    <t>Movimiento Pacifista, Miembros de la Junta Patriotica Estudiantil y Popular 2014, Integrantes de La Resistencia Unida de Venezuela</t>
  </si>
  <si>
    <t>http://resistenciav58.com</t>
  </si>
  <si>
    <t>El Espejo</t>
  </si>
  <si>
    <t>http://dlvr.it/QrvNPt</t>
  </si>
  <si>
    <t>De Lunes a Viernes a las 10:30pm con Juan Manuel Cao por America Teve</t>
  </si>
  <si>
    <t>http://www.americateve.com/</t>
  </si>
  <si>
    <t>Félix Ulloa Arredon2</t>
  </si>
  <si>
    <t>Pedro Sánchez en Cuba: la política va junto a la realidad</t>
  </si>
  <si>
    <t>http://www.cubahora.cu/politica/pedro-sanchez-en-cuba-la-politica-va-junto-a-la-realidad</t>
  </si>
  <si>
    <t>Ingeniero Eléctrico, Doctor en Ciencias Pedagógicas y Profesor Titular. Adora su familia y la tranquilidad de la casa. Sigue el beisbol. Defiende la Revolución</t>
  </si>
  <si>
    <t>EmbaCuba Haiti</t>
  </si>
  <si>
    <t>El presidente de los Consejos de Estado y de Ministros, @DiazCanelB🇨🇺recibió al presidente del Gobierno del Reino de #España🇪🇸excelentísimo Sr. Pedro Sánchez Pérez-Castejón, quien realiza una visita oficial a #Cuba. @CubaMINREX @Alba_B_Soto @embaCubaEspana @OfiturCuba_Espa</t>
  </si>
  <si>
    <t>https://pbs.twimg.com/media/DsqHt_TU0AAX68t.jpg</t>
  </si>
  <si>
    <t>Puerto Príncipe, Haití</t>
  </si>
  <si>
    <t>http://www.cubadiplomatica.cu/haiti/ES/Inicio.aspx</t>
  </si>
  <si>
    <t>A la Terminal No.1 del Aeropuerto Internacional José Martí de #LaHabana, acudió a recibir a Pedro Sánchez, el viceministro @CubaMINREX, @RogelioSierraD, y representantes de la embajada española. @CubaMINREX @Alba_B_Soto @OfiturCuba_Espa @PrensaCuba_Espa @embaCubaEspana @YairaJR</t>
  </si>
  <si>
    <t>https://pbs.twimg.com/media/DsqGyL8UUAElg1s.jpg</t>
  </si>
  <si>
    <t>Pedro Sánchez cumplirá una amplia agenda, que incluye un encuentro con @DiazCanelB, un homenaje al héroe nacional, José Martí, y la participación en la firma de acuerdos y un foro de negocios, así como un recorrido por el Casco Histórico de la Habana Vieja. @CubaMINREX @YairaJR</t>
  </si>
  <si>
    <t>https://pbs.twimg.com/media/DsqGVxrVYAE-Nb1.jpg</t>
  </si>
  <si>
    <t>expreso chiapas</t>
  </si>
  <si>
    <t>La Habana - Pedro Sánchez llegó ayer jueves a Cuba para una visita histórica, la primera de un jefe del gobierno español en 32 años, destinada a reforzar los lazos políticos y...</t>
  </si>
  <si>
    <t>http://expresochiapas.com/noticias/2018/11/visita-historica-a-cuba-del-jefe-de-gobierno-espanol/</t>
  </si>
  <si>
    <t>Tuxtla Gutiérrez, Chiapas</t>
  </si>
  <si>
    <t>http://www.expresochiapas.com</t>
  </si>
  <si>
    <t>Ismael Tobón</t>
  </si>
  <si>
    <t>https://sptnkne.ws/kdz4</t>
  </si>
  <si>
    <t>Washington, DC</t>
  </si>
  <si>
    <t>Periodista/Journalist in @SputnikMundo - @SputnikInt en Washington DC. puedes escribirme Ismaeltobon025@gmail.com FB, Instagram &amp; Perioscope @Ismaeltobon</t>
  </si>
  <si>
    <t>https://mundo.sputniknews.com</t>
  </si>
  <si>
    <t>La visita del presidente de #España🇪🇸Pedro Sánchez es la primera de un gobernante español desde que lo hiciera hace 32 años el también representante del PSOE Felipe González. @CubaMINREX @Alba_B_Soto @PrensaCuba_Espa @OfiturCuba_Espa @embaCubaEspana @MCarinaSotoA @GlezGaliano</t>
  </si>
  <si>
    <t>https://pbs.twimg.com/media/DsqF06oVYAEjD-K.jpg</t>
  </si>
  <si>
    <t>Victor Marillanca</t>
  </si>
  <si>
    <t>Canberra AUSTRALIA</t>
  </si>
  <si>
    <t>INTERNACIONAL</t>
  </si>
  <si>
    <t>#VuelveALeer: Pedro Sánchez y Miguel Díaz-Canel se reúnen en La Habana</t>
  </si>
  <si>
    <t>https://goo.gl/wLZXnm</t>
  </si>
  <si>
    <t>Guadalajara, Jalisco</t>
  </si>
  <si>
    <t>Noticias más recientes del acontecer en América Latina, Europa, Asia, Medio Oriente y África ::: Siempre una buena noticia ::: Una cuenta de @informador.</t>
  </si>
  <si>
    <t>http://www.informador.mx/internacional/</t>
  </si>
  <si>
    <t>El presidente del gobierno de #España, Pedro Sanchez, está en #Cuba cumplimentando una visita oficial. En el aeropuerto "José Marti" fue recibido por @RogelioSierraD, vice ministro @CubaMINREX. @Alba_B_Soto @embaCubaEspana @OfiturCuba_Espa @PrensaCuba_Espa @GlezGaliano @yaypm</t>
  </si>
  <si>
    <t>https://pbs.twimg.com/media/DsqDP93U8AAr_6S.jpg</t>
  </si>
  <si>
    <t>Luis M. Blanc</t>
  </si>
  <si>
    <t>❌ Pedro Sánchez se reúne con la cúpula de la dictadura castrista en el Palacio de la Revolución 🔻 Lo de siempre de la izquierda, un dictador si es de izquierdas no es un dictador. 🔻 Mucho sectarismo y poca convicción democrática.</t>
  </si>
  <si>
    <t>https://okdiario.com/espana/2018/11/23/pedro-sanchez-reune-cupula-del-regimen-cubano-palacio-revolucion-3382388#.W_dzRG1w-UM.twitter</t>
  </si>
  <si>
    <t>Estoescuba</t>
  </si>
  <si>
    <t>Llegó Pedro Sánchez a Cuba</t>
  </si>
  <si>
    <t>https://www.mystupidland.site/2018/11/llego-pedro-sanchez-a-cuba/</t>
  </si>
  <si>
    <t>https://pbs.twimg.com/media/DsqD5MWU4AE-WPi.jpg</t>
  </si>
  <si>
    <t>quiero llevarles las ultimas noticias de cuba y el mundo</t>
  </si>
  <si>
    <t>http://www.estoescuba.eu</t>
  </si>
  <si>
    <t>Habana Radio Oficial</t>
  </si>
  <si>
    <t>🔴 PRIMICIA Silla de campaña de Antonio Maceo ya está en #Cuba, como parte de la visita de Pedro Sánchez, presidente de #España. En la mañana de este viernes 23 será el acto oficial de inauguración en el Museo de la Ciudad del Centro Histórico.</t>
  </si>
  <si>
    <t>https://www.facebook.com/HabanaRadio/videos/368527477251564/</t>
  </si>
  <si>
    <t>http://www.habanaradio.cu/</t>
  </si>
  <si>
    <t>Infórmate Diario</t>
  </si>
  <si>
    <t>Un gobernante español visita Cuba por primera vez en 32 años: La Habana, 22 Nov .- El presidente del gobierno de España, Pedro Sánchez, llegó hoy a Cuba y se convirtió en el primer gobernante de ese país en realizar una visita oficial a la isla en más...</t>
  </si>
  <si>
    <t>http://tinyurl.com/yb2ocyqf</t>
  </si>
  <si>
    <t>Decano en México de los Diarios On Line, con información de interés en temas de política e información general. La noticia al momento. Fundado en el año 2000.</t>
  </si>
  <si>
    <t>http://informate.com.mx</t>
  </si>
  <si>
    <t>Encabezan Díaz-Canel y Pedro Sánchez firma de memorandos (+Fotos) - Desde #Cuba la #Noticia en #1Minuto</t>
  </si>
  <si>
    <t>La Habana, 22 nov (Prensa Latina) El presidente de Cuba, Miguel Díaz-Canel, y el presidente del Gobierno de España, Pedro Sánchez, encabezaron hoy en esta capital la firma de dos memorandos entre las dos...</t>
  </si>
  <si>
    <t>https://www.facebook.com/marisela.presa.75/posts/752515951766662</t>
  </si>
  <si>
    <t>Política y Economía</t>
  </si>
  <si>
    <t>Díaz Canel en primera visita de un presidente español a Cuba en 32 años llegó al Aeropuerto de La Habana cerca de las 4:00 de la tarde (hora local), y en su agenda tiene previsto reunirse con el presidente cubano</t>
  </si>
  <si>
    <t>Aquí y Ahora</t>
  </si>
  <si>
    <t>“La inflación está en todas partes y siempre es un fenómeno monetario”. – Milton Friedman</t>
  </si>
  <si>
    <t>Noticias Venezuela</t>
  </si>
  <si>
    <t>https://wp.me/p26M0z-BSD--</t>
  </si>
  <si>
    <t>https://pbs.twimg.com/media/DsqCl_sXQAAng-b.jpg</t>
  </si>
  <si>
    <t>🔴 La mejor y más actual red de noticias de Venezuela http://noticiasvenezuela.co</t>
  </si>
  <si>
    <t>http://noticiasvenezuela.org/</t>
  </si>
  <si>
    <t>Noel Martínez</t>
  </si>
  <si>
    <t>#Cuba</t>
  </si>
  <si>
    <t>#Periodista de la #Emisora de #Noticias @RadioRelojCuba #Habana @Canal de Información #Cuba</t>
  </si>
  <si>
    <t>https://rreloj.wordpress.com/</t>
  </si>
  <si>
    <t>El Periódico Inter.</t>
  </si>
  <si>
    <t>Pedro Sánchez dice a su llegada a Cuba que las negociaciones con May "permanencen alejadas"</t>
  </si>
  <si>
    <t>http://elperiodi.co/_mvod1</t>
  </si>
  <si>
    <t>Sección de Internacional de El Periódico, el diario de referencia de Catalunya @elperiodico En catalán: @EP_internac_cat</t>
  </si>
  <si>
    <t>http://www.elperiodico.com/es/internacional/</t>
  </si>
  <si>
    <t>Cuba y España celebrarán encuentros bilaterales anuales "en los que se hablará de todo lo que consideren oportuno, incluidos los derechos humanos". Así ha sido el primer día de @sanchezcastejon en La Habana @CiberCuba</t>
  </si>
  <si>
    <t>Dayani Haro Cordovéz 🇨🇺</t>
  </si>
  <si>
    <t>https://pbs.twimg.com/media/DsqCKc4XQAE8pHS.jpg</t>
  </si>
  <si>
    <t>#Periodista de @radiorelojcuba 🇨🇺 Siempre en busca de la noticia. Relojera 🕒 💯%.</t>
  </si>
  <si>
    <t>CiberCuba</t>
  </si>
  <si>
    <t>Cuba y España acuerdan consultas bilaterales anuales para hablar incluso sobre derechos humanos</t>
  </si>
  <si>
    <t>https://www.cibercuba.com/videos/noticias/2018-11-23-u1-e199291-s27061-pedro-sanchez-inicia-su-vista-habana-firma-acuerdos?utm_source=dlvr.it&amp;utm_medium=twitter&amp;utm_campaign=CiberCuba</t>
  </si>
  <si>
    <t>La voz digital de los cubanos. #Cuba #Internet</t>
  </si>
  <si>
    <t>http://www.cibercuba.com/</t>
  </si>
  <si>
    <t>ElPeriódico Política</t>
  </si>
  <si>
    <t>Pedro Sánchez dispuesto a vetar el 'brexit' tras hablar con May</t>
  </si>
  <si>
    <t>http://elperiodi.co/4nakh1</t>
  </si>
  <si>
    <t>Todas las noticias de la sección de Política de El Periódico @elperiodico. 📢 Síguenos también en Telegram http://telegram.me/elperiodico</t>
  </si>
  <si>
    <t>http://www.elperiodico.com/es/politica</t>
  </si>
  <si>
    <t>Pedro Sánchez rinde tributo al pensador cubano José Martí en la Plaza de la Revolución a su llegada a Cuba</t>
  </si>
  <si>
    <t>https://pbs.twimg.com/media/DsqBBfBV4AEWIPi.jpg</t>
  </si>
  <si>
    <t>Efrain Salinas</t>
  </si>
  <si>
    <t>🔴Que alguien en el gabinete PPoe del pobre Pedro Sànchez 💃🏼(de preferencia que sepa de DERECHO INTERNACIONAL) le EXPLIQUE acerca de Jerarquias LEGALES y Prioridades en el tema Brexit, para que no siga haciendo el papelón. 🔴Luego sobre Gibraltar.. 🧐</t>
  </si>
  <si>
    <t>https://www.eldiario.es/internacional/Londres-Bruselas-UE-Reino-Unido_0_838516313.html#declaracion</t>
  </si>
  <si>
    <t>El preacuerdo sobre Gibraltar no aleja la amenaza del veto de España España país europeo o una rémora?</t>
  </si>
  <si>
    <t>https://www.elperiodico.com/es/internacional/20181121/espana-reino-unido-preacuerdo-gibraltar-pedro-sanchez-7160290?utm_source=twitter&amp;utm_medium=social</t>
  </si>
  <si>
    <t>Josefina Vijil</t>
  </si>
  <si>
    <t>Otro día más que PEDRO SANCHEZ vivió en la cárcel. Un día que debería vivir en un país libre, sin torturas ni cárcel. Otro día más en que yo GRITO POR SU LIBERTAD. @AlianzaCivicaNi #SOSNICARAGUA #SOSNicaraguaGlobal RT @VijilJosefina: Los jueces de Daniel Ortega condenaron a PEDRO SANCHEZ. Estudiante de Ingeniería Industrial. Su delito es querer una Nicaragua en libertad, justicia y democracia. Está en las mazmorras de la dictadura desde el 20 de julio. YO SEGUIRÉ GRITANDO CADA DÍA HASTA QUE LO LIBEREN!</t>
  </si>
  <si>
    <t>https://twitter.com/VijilJosefina/status/1063634090535120896</t>
  </si>
  <si>
    <t>https://pbs.twimg.com/media/DsLJkLCXQAAq392.jpg</t>
  </si>
  <si>
    <t>Nicaragua</t>
  </si>
  <si>
    <t>Nicaragüense. Educadora. Docente, investigadora y acompañante pedagógica. Temas de interés: lecto-escritura, mejores prácticas de aula, formación docente</t>
  </si>
  <si>
    <t>http://www.ciases.org.ni</t>
  </si>
  <si>
    <t>Otro día más que PEDRO SANCHEZ vivió en la cárcel. Un día que debería vivir en un país libre, sin torturas ni cárcel. Otro día más en que GRITO POR SU LIBERTAD. @AlianzaCivicaNi #SOSNICARAGUA #SOSNicaraguaGlobal RT @VijilJosefina: Los jueces de Daniel Ortega condenaron a PEDRO SANCHEZ. Estudiante de Ingeniería Industrial. Su delito es querer una Nicaragua en libertad, justicia y democracia. Está en las mazmorras de la dictadura desde el 20 de julio. YO SEGUIRÉ GRITANDO CADA DÍA HASTA QUE LO LIBEREN!</t>
  </si>
  <si>
    <t>https://twitter.com/vijiljosefina/status/1063634090535120896</t>
  </si>
  <si>
    <t>Sputnik Mundo</t>
  </si>
  <si>
    <t>Moscú, Rusia</t>
  </si>
  <si>
    <t>Twitter oficial de la web de noticias rusa Sputnik Mundo y de Radio Sputnik. Aplicación móvil: https://mundo.sputniknews.com/docs/productos/mobile.html</t>
  </si>
  <si>
    <t>https://mundo.sputniknews.com/</t>
  </si>
  <si>
    <t>Americateve</t>
  </si>
  <si>
    <t>http://dlvr.it/QrvJ7n</t>
  </si>
  <si>
    <t>https://pbs.twimg.com/media/Dsp-_cfVsAA8LKy.jpg</t>
  </si>
  <si>
    <t>#AméricaTeVé es una estación de televisión independiente en #Español con distribución en los mercados de #Miami, #NewYork #Tampa y #PuertoRico</t>
  </si>
  <si>
    <t>http://www.americateve.com</t>
  </si>
  <si>
    <t>https://wp.me/p26M0z-BSk--</t>
  </si>
  <si>
    <t>J. Angrisano Angola</t>
  </si>
  <si>
    <t>¿Visitar a la dictadura más enquistada de Ámerica? Españoles: ¿qué más necesitan para convencerse de quién es Pedro Sánchez? Abran los ojos...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</si>
  <si>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Feder Quintana Glez</t>
  </si>
  <si>
    <t>https://okdiario.com/opinion/2018/11/22/indignidad-pedro-sanchez-borrell-3380779#.W_dtvgZ7Vhw.twitter</t>
  </si>
  <si>
    <t>Gran Ca</t>
  </si>
  <si>
    <t>POR ESPAÑA ENTERA...</t>
  </si>
  <si>
    <t>RadioTelevisiónMartí</t>
  </si>
  <si>
    <t>ESPAÑA | El presidente Pedro Sánchez viajará a Cuba acompañado por unos 300 #empresarios. Fuentes diplomáticas españolas confirmaron a Radio Martí el fuerte componente #económico de la visita, aunque no aclararon los detalles de la agenda. #Cuba #espana</t>
  </si>
  <si>
    <t>https://www.radiotelevisionmarti.com/a/no-hay-cambios-en-cuba-empresas-espa%C3%B1olas-solo-buscan-posicionarse-opinan-expertos/221224.html</t>
  </si>
  <si>
    <t>http://www.martinoticias.com difunde informaciones originadas dentro de Cuba y reporta el acontecer noticioso mundial para todos los cubanos.</t>
  </si>
  <si>
    <t>http://www.martinoticias.com</t>
  </si>
  <si>
    <t>https://pbs.twimg.com/media/Dsp8roKWwAYEgPA.jpg</t>
  </si>
  <si>
    <t>Angelica  Valladares</t>
  </si>
  <si>
    <t>https://ift.tt/2FyRw0H</t>
  </si>
  <si>
    <t>Valencia, Venezuela</t>
  </si>
  <si>
    <t>Ing. Industrial, Sintiendo, soñando, queriendo amar, soñadora como ninguna....</t>
  </si>
  <si>
    <t>Diario SUR</t>
  </si>
  <si>
    <t>#Nacional 📰 El viaje de Pedro Sánchez a Cuba otorga oxígeno diplomático a Díaz-Canel. Informa @PauladeLasHeras #Cuba #España #Latinoamérica</t>
  </si>
  <si>
    <t>https://www.diariosur.es/nacional/viaje-pedro-sanchez-cuba-20181123211321-ntrc.html#ns_campaign=jcbt&amp;ns_mchannel=diariosur&amp;ns_source=tw&amp;ns_linkname=ltl&amp;1542941676</t>
  </si>
  <si>
    <t>#Noticias de #últimahora de #Málaga, España y el mundo. En WhatsApp ☎ 660481739.</t>
  </si>
  <si>
    <t>http://www.diariosur.es</t>
  </si>
  <si>
    <t>ACN DIGITAL</t>
  </si>
  <si>
    <t>Con su llegada a Cuba, Pedro Sánchez Pérez-Castejón cumple con la invitación hecha por Miguel Díaz-Canel Bermúdez, durante su encuentro en las Naciones Unidas en septiembre...</t>
  </si>
  <si>
    <t>http://www.acn.cu/cuba/39311-firman-cuba-y-espana-memorandos-de-entendimiento-para-la-cooperacion-fotos</t>
  </si>
  <si>
    <t>Agencia Cubana de Noticias | #Noticias #Cuba | Telegram: https://t.me/acndigital Facebook: ACNCuba Instagram: acn_cuba SoundCloud: acn-cuba</t>
  </si>
  <si>
    <t>http://www.acn.cu/</t>
  </si>
  <si>
    <t>Periodismovivo</t>
  </si>
  <si>
    <t>#periodismovivo Pedro Sánchez viajó a Cuba para una histórica visita y se reunirá con Diaz-Canel – Télam</t>
  </si>
  <si>
    <t>http://periodismovivo.com.ar/mas-noticias/pedro-sanchez-viajo-a-cuba-para-una-historica-visita-y-se-reunira-con-diaz-canel-telam-00178336.html?utm_campaign=twitter&amp;utm_medium=twitter&amp;utm_source=twitter</t>
  </si>
  <si>
    <t>Te damos un resumen de las noticias del dia. Politica, Cultura, Deportes, etc.</t>
  </si>
  <si>
    <t>http://www.periodismovivo.com.ar</t>
  </si>
  <si>
    <t>https://okdiario.com/espana/2018/11/23/pedro-sanchez-reune-cupula-del-regimen-cubano-palacio-revolucion-3382388#.W_dpq3vWtgc.twitter</t>
  </si>
  <si>
    <t>Virgilio Ponce</t>
  </si>
  <si>
    <t>Pdte. del Gobierno español llega a #Cuba para visita oficial #España @DiazCanalB -  via @Shareaholic</t>
  </si>
  <si>
    <t>https://go.shr.lc/2Ab2hR4</t>
  </si>
  <si>
    <t>France</t>
  </si>
  <si>
    <t>Pensionista</t>
  </si>
  <si>
    <t>http://martianos.ning.com/</t>
  </si>
  <si>
    <t>ADLMTX</t>
  </si>
  <si>
    <t>No hay más maestro que el enemigo. Solo el enemigo te enseña tus puntos débiles, sus puntos fuertes. #MazerRackham #ElJuegoEsMio #ElTiempoEsMio</t>
  </si>
  <si>
    <t>https://interactive.news.sky.com/2017/brexit-countdown/</t>
  </si>
  <si>
    <t>Pdte. del Gobierno español llega a Cuba para visita oficial -  via @Shareaholic</t>
  </si>
  <si>
    <t>Noticiero Digital</t>
  </si>
  <si>
    <t>La más importante comunidad de #noticias y #opinión digital en #Venezuela</t>
  </si>
  <si>
    <t>http://www.noticierodigital.com</t>
  </si>
  <si>
    <t>https://www.estoescuba.eu/llego-pedro-sanchez-a-cuba/</t>
  </si>
  <si>
    <t>https://pbs.twimg.com/media/Dsp42_EU8AEV6Y5.jpg</t>
  </si>
  <si>
    <t>Pepita Mena Martín</t>
  </si>
  <si>
    <t>Jajajaja jajajaja jajajaja, nos reímos juntos todo el mundo Pedro Sánchez . RT @MariaTabarnia: 🔴 Cuando @sanchezcastejon decía: «La Ley Mordaza la vamos a derogar en cuanto lleguemos al Gobierno. Eso, no te quepa la menor duda» 🤣</t>
  </si>
  <si>
    <t>https://twitter.com/MariaTabarnia/status/1065714049185402880</t>
  </si>
  <si>
    <t>pic.twitter.com/NbKTOy7kyB</t>
  </si>
  <si>
    <t>Gerona, Figueras</t>
  </si>
  <si>
    <t>Soy abuela bisabuela y madre coraje soy muy española de Isla Cristina amo mi bandera y mi partido las opiniones hay que respetarlas 🇪🇸✌️</t>
  </si>
  <si>
    <t>José Alfredo Espinal</t>
  </si>
  <si>
    <t>Caribbean Digital El presidente del Gobierno de España, Pedro Sánchez, llegó hoy a Cuba en visita oficial de dos días, durante la cual sostendrá conversaciones con...</t>
  </si>
  <si>
    <t>http://caribbeandigital.net/presidente-del-gobierno-espanol-arribo-a-cuba-para-iniciar-visita-oficial/</t>
  </si>
  <si>
    <t>Santiago, RD</t>
  </si>
  <si>
    <t>Periodista, director del periódico Caribbean Digital (http://www.caribbeandigital.net). Lic. en Comunicación Social (UTESA). Miembro del CDP, SNTP y la ACDS.</t>
  </si>
  <si>
    <t>http://caribbeandigital.net</t>
  </si>
  <si>
    <t>https://pbs.twimg.com/media/Dsp3pVzVsAAs8aD.jpg</t>
  </si>
  <si>
    <t>Luis J.</t>
  </si>
  <si>
    <t>España busca estrechar lazos con Cuba tras 32 años de distancia</t>
  </si>
  <si>
    <t>https://m.eltiempo.com/mundo/latinoamerica/por-que-viaja-el-presidente-espanol-pedro-sanchez-a-cuba-296542</t>
  </si>
  <si>
    <t>Informador de la verdad, de todo lo que sucede en #Colombia y en el #Mundo periodista de opinión, economía y deportes. Independiente</t>
  </si>
  <si>
    <t>juan carlos merino</t>
  </si>
  <si>
    <t>Pedro Sánchez abre con Cuba un diálogo político que incluye los derechos humanos. España es el primer país europeo que firma un acuerdo para celebrar cada año una reunión bilateral con la isla caribeña @lavanguardia</t>
  </si>
  <si>
    <t>http://shr.gs/yxscKOm</t>
  </si>
  <si>
    <t>Madrid. La Vanguardia</t>
  </si>
  <si>
    <t>personas≠DERECHOS=💚</t>
  </si>
  <si>
    <t>¿Qué esperan los empresarios españoles en Cuba de la visita de Pedro Sánchez?</t>
  </si>
  <si>
    <t>https://www.lavanguardia.com/economia/20181122/453091485297/espana-cuba-pedro-sanchez-visita-empresas.html</t>
  </si>
  <si>
    <t>Reino de España</t>
  </si>
  <si>
    <t>personas≠DERECHOS= 💜❤️💚somos+=que≠ ❤💛💜 🐦 ❤️💛💚💙💜 derechos iguales = personas diferentes ≠ 🙂💙💜❤️ 🐦 💘🍎🍐 🐦 💚💚💚 🐦</t>
  </si>
  <si>
    <t>Damas de Blanco PREMIO ANDREI SAJAROV 2005</t>
  </si>
  <si>
    <t>Amnistía Internacional pide a Pedro Sánchez actuar a favor de los DDHH durante su visita a Cuba  vía @diariodecuba</t>
  </si>
  <si>
    <t>http://tinyurl.com/y7t68tmm</t>
  </si>
  <si>
    <t>España / Cuba</t>
  </si>
  <si>
    <t>Somos la familia de los presos de la Primavera Negra del 2003 y ahora la de todos los cautivos políticos que luchan por la libertad y la democracia en #Cuba</t>
  </si>
  <si>
    <t>http://www.damasdeblanco.org</t>
  </si>
  <si>
    <t>Analítica</t>
  </si>
  <si>
    <t>Pedro Sánchez llegó este jueves a Cuba en una visita oficial de dos días #22Nov</t>
  </si>
  <si>
    <t>https://www.analitica.com/actualidad/actualidad-internacional/sanchez-llega-a-cuba-para-su-visita-oficial-y-hoy-se-reunira-con-diaz-canel/</t>
  </si>
  <si>
    <t>Portal de noticias sobre Venezuela y el mundo.</t>
  </si>
  <si>
    <t>http://www.analitica.com</t>
  </si>
  <si>
    <t>EntornoInteligente</t>
  </si>
  <si>
    <t>https://goo.gl/GSqtb8</t>
  </si>
  <si>
    <t>https://pbs.twimg.com/media/Dsp2hJqUwAEBX7N.jpg</t>
  </si>
  <si>
    <t>http://www.EntornoInteligente.com Más noticias imposible. Todas las noticias en un sólo lugar. Síguenos, recomiéndanos y haz RT a todas nuestras noticias.😎</t>
  </si>
  <si>
    <t>http://www.EntornoInteligente.com</t>
  </si>
  <si>
    <t>Presidente de Cuba recibe a jefe del Gobierno español, Pedro Sánchez</t>
  </si>
  <si>
    <t>http://es.mdn.tv/1AZ6</t>
  </si>
  <si>
    <t>V24 News</t>
  </si>
  <si>
    <t>Lo que esperan los cubanos con nacionalidad española de la visita de Pedro Sánchez</t>
  </si>
  <si>
    <t>https://v24news.com/2018/11/lo-que-esperan-los-cubanos-con-nacionalidad-espanola-de-la-visita-de-pedro-sanchez/</t>
  </si>
  <si>
    <t>https://pbs.twimg.com/media/Dsp0iXLVsAAPMV4.jpg</t>
  </si>
  <si>
    <t>More news, less junk</t>
  </si>
  <si>
    <t>http://www.v24news.com</t>
  </si>
  <si>
    <t>Recibió Díaz-Canel al Presidente del Gobierno de España El presidente de los Consejos de Estado y de Ministros, Miguel Díaz-Canel Bermúdez, recibió este jueves al presidente del Gobierno del Reino de España, excelentísimo señor Pedro Sánchez Pérez-Castej…</t>
  </si>
  <si>
    <t>https://ift.tt/2PRIVvb</t>
  </si>
  <si>
    <t>https://sptnkne.ws/kdze</t>
  </si>
  <si>
    <t>Recibe Díaz-Canel en La Habana al presidente del Gobierno español  El jefe de Estado cubano, Miguel Díaz-Canel, recibió hoy en La Habana al presidente del Gobierno español, Pedro Sánchez, quien comenzó una visita oficial de dos días. Después del recibimi…</t>
  </si>
  <si>
    <t>http://www.notinet.icrt.cu/index.php?option=com_content&amp;view=article&amp;id=16065:recibe-diaz-canel-en-la-habana-al-presidente-del-gobierno-espanol-&amp;catid=1:noticias-de-cuba&amp;Itemid=50</t>
  </si>
  <si>
    <t>Diógenes Hernández</t>
  </si>
  <si>
    <t>Hombre soy y nada humano me es ajeno. Perdonar al criminal es no respetar a su victima</t>
  </si>
  <si>
    <t>https://pbs.twimg.com/media/DspyGe7U4AE-F3L.jpg</t>
  </si>
  <si>
    <t>El presidente del Reino de España, Pedro Sánchez, se reúne con el Presidente de la República de Cuba Díaz Canel en la primera visita de un presidente español a Cuba en 32 años #Cuba #España #internacionalismo #SomosCuba #SomosContinuidad #CubaVsBloqueo #Latinoamerica #BuenJueves</t>
  </si>
  <si>
    <t>https://pbs.twimg.com/media/DspyEAyW0AA7BbU.jpg</t>
  </si>
  <si>
    <t>Lefalandia</t>
  </si>
  <si>
    <t>Pones a Ferreras entre Florentino Pérez y Pedro Sánchez y tras arrodillarse y abrir la boca no sabría por cuál desidirse primero.</t>
  </si>
  <si>
    <t>Ola, olas, oli y olis, criaturitas.</t>
  </si>
  <si>
    <t>https://pbs.twimg.com/media/DspIMmjV4AAer6c.jpg</t>
  </si>
  <si>
    <t>Agencia Télam</t>
  </si>
  <si>
    <t>El presidente del gobierno español Pedro Sánchez viajó a Cuba para una histórica visita y se reunirá con su par Miguel Diaz-Canel</t>
  </si>
  <si>
    <t>https://buff.ly/2TAJ8Rx</t>
  </si>
  <si>
    <t>https://pbs.twimg.com/media/Dspwy1bWwAAPBUg.jpg</t>
  </si>
  <si>
    <t>Télam - Agencia de Noticias de la República Argentina.</t>
  </si>
  <si>
    <t>http://www.telam.com.ar</t>
  </si>
  <si>
    <t>Mundo/Inter</t>
  </si>
  <si>
    <t>Pedro Sánchez, llegó el jueves a Cuba para una visita histórica, la primera de un jefe del gobierno español en 32 años, destinada a reforzar los lazos políticos y económicos con la isla.</t>
  </si>
  <si>
    <t>https://pbs.twimg.com/media/Dspku4eU0AA0CNP.jpg</t>
  </si>
  <si>
    <t>Sección de noticias internacionales de elPeriódico Guatemala.</t>
  </si>
  <si>
    <t>Credit Repair Texas</t>
  </si>
  <si>
    <t>Moción de censura: Sánchez será presidente gracias al apoyo de Podemos y los nacionalistas y Rajoy no dimitirá  Pedro Sánchez saldrá este viernes del Congreso de los Diputados como presidente del Gobierno y lo hará gracias al apoyo anunciado de… c…</t>
  </si>
  <si>
    <t>https://ift.tt/2PNVPu4</t>
  </si>
  <si>
    <t>Houston, TX</t>
  </si>
  <si>
    <t>Credit repair in Houston call (855) 255-0035 http://businessfinder.masslive.com/12735948/CONSUMER-CREDIT-COUNSELING-SERVICE-18002544100-Boston-MA http://businessfinder.masslive.com/12735951/CONSUMER-CREDIT-COUNSELING-SERVICE-18002544100-Worcester-MA http://businessfinder.masslive.com/9612906/CONSUMER-CREDIT-COUNSELING-SERVICE-18002544100-Springfield-MA http://businessfinder.masslive.com/12735955/CONSUMER-CREDIT-COUNSELING-SERVICE-18002544100-Cambridge-MA http://businessfinder.masslive.com/4995619/CONSUMER-CREDIT-COUNSELING-SERVICE-18002544100-Framingham-MA</t>
  </si>
  <si>
    <t>https://m.facebook.com/Consumer-Credit-Counseling-in-Massachusetts-229050090848009/</t>
  </si>
  <si>
    <t>Salt Lake City 84101</t>
  </si>
  <si>
    <t>Salt Lake City, UT</t>
  </si>
  <si>
    <t>Consumer Credit Counseling in Salt Lake City, Utah 84101 (800) 254-4100 https://www.facebook.com/Consumer-Credit-Counseling-in-Utah-1699779267007279/ https://m.facebook.com/Consumer-Credit-Counseling-in-Utah-1699779267007279/ http://es-la.facebook.com/Consumer-Credit-Counseling-in-Utah-1699779267007279/</t>
  </si>
  <si>
    <t>https://www.facebook.com/Consumer-Credit-Counseling-in-Utah-1699779267007279/</t>
  </si>
  <si>
    <t>Conrado Vives Anias</t>
  </si>
  <si>
    <t>#Cuba: Recibió Miguel Díaz-Canel al presidente del Gobierno español, Pedro Sánchez  @radionline #CubaRadio97 @manolitoweb @CimarronCuba @danaeguantanamo @zcmcamaguey @oneliocc</t>
  </si>
  <si>
    <t>http://www.radiocubana.icrt.cu/149-destacados/23997-cuba-recibio-miguel-diaz-canel-al-presidente-del-gobierno-espanol-pedro-sanchez</t>
  </si>
  <si>
    <t>Nació el 24 de enero de 1971, en Amancio, Las Tunas</t>
  </si>
  <si>
    <t>North Las Vegas, NV</t>
  </si>
  <si>
    <t>Consumer Credit Counseling in North Las Vegas NV (800) 254-4100 https://www.facebook.com/Consumer-Credit-Counseling-in-California-1090777264305447/ https://es-la.facebook.com/Consumer-Credit-Counseling-in-California-1090777264305447/ https://m.facebook.com/Consumer-Credit-Counseling-in-California-1090777264305447/ http://consumercounseling.org/cccsca.html</t>
  </si>
  <si>
    <t>https://www.facebook.com/Consumer-Credit-Counseling-in-California-1090777264305447/</t>
  </si>
  <si>
    <t>Asuncion, Paraguay</t>
  </si>
  <si>
    <t>REFORMACOM</t>
  </si>
  <si>
    <t>Pedro Sánchez se convirtió en el primer Presidente español en 32 años en visitar Cuba, donde se reunió con su homólogo Díaz-Canel.</t>
  </si>
  <si>
    <t>http://bit.ly/2S3cBSy</t>
  </si>
  <si>
    <t>Corazón de México. Puedes ver más información en: http://reforma.com</t>
  </si>
  <si>
    <t>http://www.reforma.com</t>
  </si>
  <si>
    <t>Arturo Gonzalez</t>
  </si>
  <si>
    <t>Cuba, un viaje arriesgado para Pedro Sánchez:  vía @14ymedio</t>
  </si>
  <si>
    <t>CCOO Sanidad Madrid</t>
  </si>
  <si>
    <t>https://www.14ymedio.com/opinion/Cuba-viaje-arriesgado-Pedro-Sanchez_0_2550344946.html#.W_dfy7Pf47I.twitter</t>
  </si>
  <si>
    <t>I am who I am and my circumstances</t>
  </si>
  <si>
    <t>http://arturoasas.blogspot.com</t>
  </si>
  <si>
    <t>Federación de Sanidad y Sectores Sociosanitarios de CCOO Madrid</t>
  </si>
  <si>
    <t>http://www.madrid.ccoo.es/sanidadmadrid/</t>
  </si>
  <si>
    <t>Miguel Á. Hernandez</t>
  </si>
  <si>
    <t>Vía @reforma Pedro Sánchez se convirtió en el primer Presidente español en 32 años en visitar Cuba, donde se reunió con su homólogo Díaz-Canel.</t>
  </si>
  <si>
    <t>http://bit.ly/2S3cbeW</t>
  </si>
  <si>
    <t>Monterrey</t>
  </si>
  <si>
    <t>Editor Sección Local de EL NORTE</t>
  </si>
  <si>
    <t>http://www.elnorte.com</t>
  </si>
  <si>
    <t>Koke Jiménez</t>
  </si>
  <si>
    <t>ÜT: 19.342001,-99.18988</t>
  </si>
  <si>
    <t>Aficionado de las Chivas. Fotógrafo casual y adicto al cine. Mi perrito es Cooper</t>
  </si>
  <si>
    <t>Edith Falcón Ornelas</t>
  </si>
  <si>
    <t>Monterrey, Nuevo León</t>
  </si>
  <si>
    <t>Argonauta de mi vida y de mi muerte</t>
  </si>
  <si>
    <t>David Torres P.</t>
  </si>
  <si>
    <t>En Grupo REFORMA 😛</t>
  </si>
  <si>
    <t>Lorena González</t>
  </si>
  <si>
    <t>Me está quitando el sueño no saber de qué estarán hablando Pedro Sánchez y Miguel Díaz- Canel. Me tranquiliza que seguro que saca un ratito para verse con la disidencia y charlar de DDHH💤💤</t>
  </si>
  <si>
    <t>Madrid-Barcelona</t>
  </si>
  <si>
    <t>Filóloga y Periodista. Persiguiendo sueños. @RTVE @Marca @revistapanenka @Gol y donde me dejen. Ex Cope y Onda Cero. Instagram: lorena_gonzalez1711</t>
  </si>
  <si>
    <t>Reforma Internacional</t>
  </si>
  <si>
    <t>http://bit.ly/2S9km9l</t>
  </si>
  <si>
    <t>Política, derechos humanos y noticias de última hora alrededor del mundo. Cuenta de la sección Internacional del periódico REFORMA.</t>
  </si>
  <si>
    <t>http://www.reforma.com/internacional</t>
  </si>
  <si>
    <t>Sistema Informativo de la Televisión Cubana</t>
  </si>
  <si>
    <t>Sostienen Díaz-Canel y Pedro Sánchez conversaciones oficiales:  via @YouTube</t>
  </si>
  <si>
    <t>http://youtu.be/jP5zhe-Ot0o?a</t>
  </si>
  <si>
    <t>Representamos al Sistema Informativo de la Televisión Cubana y sus contenidos en Internet y redes sociales, abordando una visión desde Cuba de nuestra realidad.</t>
  </si>
  <si>
    <t>http://www.cubatv.icrt.cu/</t>
  </si>
  <si>
    <t>Rodrigo Slay</t>
  </si>
  <si>
    <t>(Presidente cubano Diaz-Canel recibe a su homólogo español Pedro Sánchez) publicado en Slay Multimedios</t>
  </si>
  <si>
    <t>https://www.slaymultimedios.com/presidente-cubano-diaz-canel-recibe-a-su-homologo-espanol-pedro-sanchez/</t>
  </si>
  <si>
    <t>Santiago de Chile</t>
  </si>
  <si>
    <t>Diseño web, #WebMaster en @slaymultimedios Productor Multimedia, Community Manager, Desarrollador. #Wordpress, #Joomla #PHP.</t>
  </si>
  <si>
    <t>Presidente cubano Diaz-Canel recibe a su homólogo español Pedro Sánchez - LA HABANA (Sputnik) — El presidente de Cuba, Miguel Díaz-Canel, recibió a su homólogo español, Pedro Sánchez, en el Palacio de la Revolu...</t>
  </si>
  <si>
    <t>http://bit.ly/2FBZx54</t>
  </si>
  <si>
    <t>Jordi S. i Carbonell</t>
  </si>
  <si>
    <t>La foto del día la protagonizan los máximos mandatarios de Cuba 🇨🇺 y España 🇪🇸 Díaz-Canel y Pedro Sánchez en un encuentro histórico. 32 años llevaba un presidente español sin pisar Cuba.</t>
  </si>
  <si>
    <t>https://pbs.twimg.com/media/DspvQWsVYAET5QY.jpg</t>
  </si>
  <si>
    <t>Enguera • València • Madrid</t>
  </si>
  <si>
    <t>Periodismo &amp; Políticas URJC • Director @mirallvalencia • Un nadie más en @nonamekitchen1 y @LCeibes • #RealPolitik • Militant @jovespv 🌟• Hablo 🇪🇸🇬🇧🇮🇹CAT</t>
  </si>
  <si>
    <t>http://revistamirall.com/author/jordisarrion/</t>
  </si>
  <si>
    <t>Deposita ofrenda floral a José Martí , Pedro Sánchez Pérez-Castejón:  via @YouTube</t>
  </si>
  <si>
    <t>http://youtu.be/TNxCJmqJLBc?a</t>
  </si>
  <si>
    <t>Pedro Sánchez y Zapatero son cacas d perro! RT @cayetanaAT: Tan durito con los dictadores muertos y tan blandito con los dictadores vivos.  via @elmundoes</t>
  </si>
  <si>
    <t>https://twitter.com/cayetanaat/status/1065359910395944960
https://www.elmundo.es/espana/2018/11/21/5bf5ab23e2704ea02f8b4581.html</t>
  </si>
  <si>
    <t>CANAL ⓩ</t>
  </si>
  <si>
    <t>https://pbs.twimg.com/media/DsptlqXU8AIHxyr.jpg</t>
  </si>
  <si>
    <t>Canal Z Noticias. #Lifestyle #Cultura #Ciencia #Tecnología #Ocio e información que te hace diferente » Solo las cosas que importan y seguirán importando siempre</t>
  </si>
  <si>
    <t>Radio Cuervo Uruguay</t>
  </si>
  <si>
    <t>AHORA !!! España y Cuba suscriben un acuerdo para sostener reuniones políticas anuales. El presidente de España, Pedro Sánchez, y su par cubano, Manuel Díaz Canel, firmaron este jueves un memorando de entendimiento que prevé la</t>
  </si>
  <si>
    <t>https://www.facebook.com/Radiocuervouruguay/photos/a.652598391502983/1930869587009184/?type=3&amp;__xts__%5B0%5D=68.ARCTlc8MeBoRlDUyLNw74AtMi4fbIrNGALT8_dsgxgAv3JZ0g1vlWgpKHmziv6sZfLLbs6QpSNwGfl8n3pfDrqQ6wIjpX-Q55oTKN7bODET1XZt9KKB2RJZX2_DecJEENiH_tFmkfq1IRzrLi4iJrzfA-tZBFLgEtd2udp1f6X2JtJn2CdkiWYKEa15rA4Kz2SvZ0zX0y7Q_dEaTmneFaDVdk4sYaG_dO_PfLADX-lyTktdNVaOc3TuGxiyIgnxf34bPgdWa93HbtN_u1jTCODfKEHisCxxt1c2gZP0D7oavQZf_malh64ZIdOFECOWp0J3QIlfsM10yEj-2X2uRlfyDlQ&amp;__tn__=-R</t>
  </si>
  <si>
    <t>https://pbs.twimg.com/media/Dsps3xGXcAA3UeR.jpg</t>
  </si>
  <si>
    <t>"Si no hay cambios, vetaremos el Brexit" -Pedro Sánchez tras hablar con Theresa May sobre Gibraltar. El presidente del Gobierno de España, Pedro Sánchez, ha afirmado este jueves que si el Reino Unido no cambia su postura respecto a Gibraltar,</t>
  </si>
  <si>
    <t>https://www.facebook.com/Radiocuervouruguay/photos/a.652598391502983/1930867403676069/?type=3&amp;__xts__%5B0%5D=68.ARCy3eopUkE9agJHTWmt5CCMApCjGOgwy2-w-hgssa9uqUiCfookAsdE0nfi4WGe7A43gCLlhDThTp7xF9ynXfWZ_-C9CUuAHuSMackhjtXXPdHDeZsdFOQp-OTkIR3f8M5plP1XG6R3lKWZfIcr-VVorUvdajCva-mOUsnvfqzSnhAp1DhZFtlFmVbosDKJt2H7c2JWm56Ekm8rwgeNmWKaNm7EnMJbD7ioGoJ1m16syO_yZg5MFP1p28ImEouKXByacV5OffWNJW7XDATsaG4XJ4RhraYpWNRz8MHSRMxtLmJhnJX1QsN2STJ1X7Y0FsGWrHht7XYBzYcIPr2EgY97NA&amp;__tn__=-R</t>
  </si>
  <si>
    <t>https://pbs.twimg.com/media/DspsV4FV4AAstw5.jpg</t>
  </si>
  <si>
    <t>Cibao Aldía</t>
  </si>
  <si>
    <t>Pedro Sánchez es primer presidente español en visitar a Cuba en 32 años</t>
  </si>
  <si>
    <t>http://hispanosaldia.com/pedro-sanchez-es-primer-presidente-espanol-en-visitar-a-cuba-en-32-anos/</t>
  </si>
  <si>
    <t>Noticias de Actualidad</t>
  </si>
  <si>
    <t>http://hispanosaldia.com/</t>
  </si>
  <si>
    <t>Amable Grullon</t>
  </si>
  <si>
    <t>Santiago, Rep. Dominicana</t>
  </si>
  <si>
    <t>Noticias de interés para los hispanos</t>
  </si>
  <si>
    <t>Ⓩ Ⓞ Ⓝ Ⓐ 💯</t>
  </si>
  <si>
    <t>Pedro Sánchez: "El Gobierno defenderá los intereses de España. Si no hay cambios, vetaremos el Brexit"</t>
  </si>
  <si>
    <t>https://www.lasexta.com/noticias/nacional/pedro-sanchez-gobierno-defendera-intereses-espana-hay-cambios-vetaremos-brexit_201811225bf726190cf25d64f625f686.html</t>
  </si>
  <si>
    <t>Porque vivir sin información es como asaltar un banco armado con un plátano... ¡¡Bienvenido a Ⓩ Ⓞ Ⓝ Ⓐ 💯!!</t>
  </si>
  <si>
    <t>Efectivamente así es y así hay qué decirlo , alto y claro en la cara dé todos esos golpistas asesinos míserables dectructores asquerosos repugnantes y aquí entra en el lote Pedro Sánchez y todo el partido Socialista junto al Coletas Pablo Yglesias y todos los que odian a España. RT @albertofdezxbcn: #Barcelona siempre ha defendido la libertad y la democracia y es intolerable que el gobierno de Colau guarde silencio ante la vulneración de derechos humanos, la crisis humanitaria y la violencia del gobierno de Maduro en #Venezuela porque consideran que es uno de los suyos</t>
  </si>
  <si>
    <t>https://twitter.com/albertofdezxbcn/status/1065658016580673536</t>
  </si>
  <si>
    <t>pic.twitter.com/cpOXGHdSwC</t>
  </si>
  <si>
    <t>Gustavo Bequer Mtz</t>
  </si>
  <si>
    <t>Recibe nuestro presidente Miguel Diaz Canel Bermudez a Pedro Sánchez, Presidente del gobierno español. #Cuba @enciclope_cu @Loypa2 @mesaredondacuba @radiorelojcuba</t>
  </si>
  <si>
    <t>Comentarista de cine. Periodista y Director del programa La Intimidad del Silencio en Radio Enciclopedia.Licenciado en Historia del Arte.</t>
  </si>
  <si>
    <t>ReInformación Balear</t>
  </si>
  <si>
    <t>El ridículo del inepto Pedro Sánchez ante Theresa May y su venganza por Gibraltar</t>
  </si>
  <si>
    <t>https://www.periodistadigital.com/politica/gobierno/2018/11/23/el-ridiculo-del-inepto-pedro-sanchez-ante-theresa-may-y-su-venganza-por-gibraltar.shtml#.W_dafcvDRNI.twitter</t>
  </si>
  <si>
    <t>Palma de Mallorca, España</t>
  </si>
  <si>
    <t>Diario independiente</t>
  </si>
  <si>
    <t>http://www.periodistadigital.com/reinformacionbalear/</t>
  </si>
  <si>
    <t>La Jornada San Luis</t>
  </si>
  <si>
    <t>Visita histórica a #Cuba de Pedro Sánchez, jefe de gobierno español</t>
  </si>
  <si>
    <t>http://ow.ly/FeZR30mIKrD</t>
  </si>
  <si>
    <t>https://pbs.twimg.com/media/DsprE4eXcAAh6ws.jpg</t>
  </si>
  <si>
    <t>Brindar a nuestros lectores información oportuna, objetiva, crítica y veraz, con un alto sentido de ética personal e independencia periodística.</t>
  </si>
  <si>
    <t>http://www.lajornadasanluis.com.mx</t>
  </si>
  <si>
    <t>Aurora Fernández</t>
  </si>
  <si>
    <t>Hace pocos minutos: @DiazCanelB y Pedro @sanchezcastejon encabezan firma de memorandos #Cuba #españa @GustavoMachinG @CubaMINREX @RogelioSierraD  vía @PortalCubasi</t>
  </si>
  <si>
    <t>http://cubasi.cu/cubasi-noticias-cuba-mundo-ultima-hora/item/85484-diaz-canel-y-pedro-sanchez-encabezan-firma-de-memorandos</t>
  </si>
  <si>
    <t>Viceministra de Educación Superior, Cuba</t>
  </si>
  <si>
    <t>Mara Diaz</t>
  </si>
  <si>
    <t>Asraf Beno: Vales menos que la palabra de Pedro Sánchez Tenia q decirlo #SomosLaAudiencia22 #SomosLaAudiencia22N #SomosLaAudiencia23N #somoslaaudiencia23</t>
  </si>
  <si>
    <t>Graduada Social,Profe de F.P,Marmota x vocación. No soy borde,soy simpática selectiva.🐼💙🐼 #dependientahastaelpapo #bibliapruces #bibliagobierno</t>
  </si>
  <si>
    <t>https://www.facebook.com/Me-lo-dices-o-me-lo-cuentas-Te-lo-cuento-1209658342506537/</t>
  </si>
  <si>
    <t>Lo pongo otra vez pq es el insulto del año: Vales menos que la palabra de Pedro Sánchez...</t>
  </si>
  <si>
    <t>pic.twitter.com/QvK8P1t3I6</t>
  </si>
  <si>
    <t>Roger Vásquez</t>
  </si>
  <si>
    <t>Presidente del Gobierno español rinde honores a José Martí en La Habana:  #FitvenMotorEconómico @VencedorMRT</t>
  </si>
  <si>
    <t>Puerto la Cruz-Anzoátegui_Vene</t>
  </si>
  <si>
    <t>Técnico en Refinación-Misión Ribas Técnica, creación del Comandante Chavez. En lucha permanente por la Igualdad establecida y Practicada como dijo el Libertador</t>
  </si>
  <si>
    <t>https://www.facebook.com/VencedorMRT48365?ref=bookmarks</t>
  </si>
  <si>
    <t>https://www.prensa-latina.cu/index.php?o=rn&amp;id=230921&amp;SEO=diaz-canel-y-pedro-sanchez-encabezan-firma-de-memorandos</t>
  </si>
  <si>
    <t>Joven Club</t>
  </si>
  <si>
    <t>Biografía oficial del Excmo. Sr. Pedro Sánchez Pérez-Castejón, presidente del Gobierno del Reino de España</t>
  </si>
  <si>
    <t>http://www.granma.cu/mundo/2018-11-21/biografia-oficial-del-excmo-sr-pedro-sanchez-perez-castejon-presidente-del-gobierno-del-reino-de-espana-21-11-2018-20-11-30</t>
  </si>
  <si>
    <t>Durante su visita oficial de dos días a #Cuba el presidente de España Pedro Sánchez tiene previsto participar en la firma de acuerdos y en un foro de negocios, así como recorrer el Casco Histórico de la Habana Vieja</t>
  </si>
  <si>
    <t>https://pbs.twimg.com/media/DspWlWjUUAA-tF5.jpg</t>
  </si>
  <si>
    <t>https://pbs.twimg.com/media/DsposrtXcAAjnCU.jpg</t>
  </si>
  <si>
    <t>https://wp.me/p26M0z-BSD</t>
  </si>
  <si>
    <t>https://pbs.twimg.com/media/DspoCxdW0AEmmLJ.jpg</t>
  </si>
  <si>
    <t>Video: Pedro Sánchez llega a Cuba y se reúne con el presidente Díaz-Canel</t>
  </si>
  <si>
    <t>http://bit.ly/2P2BNqw</t>
  </si>
  <si>
    <t>Pilar Balado</t>
  </si>
  <si>
    <t>Pues se van a cansar. Las Damas de Blanco piden a Pedro Sánchez que se reúna con la oposición durante su viaje a Cuba  vía @ABC_Mundo</t>
  </si>
  <si>
    <t>https://www.abc.es/internacional/abci-damas-blanco-piden-pedro-sanchez-reuna-oposicion-durante-viaje-cuba-201811202120_noticia.html#ns_campaign=rrss-inducido&amp;ns_mchannel=abc-es&amp;ns_source=tw&amp;ns_linkname=noticia-foto&amp;ns_fee=0</t>
  </si>
  <si>
    <t>me gusta la musica ,lascosas bonitas cuadros fotos pinturas el MAR lo adoro ,los perros maravillosos ,la cosmetica la naturaleza .la vida y la salud</t>
  </si>
  <si>
    <t>Díaz-Canel y Pedro Sánchez encabezan firma de memorandos.</t>
  </si>
  <si>
    <t>http://bit.ly/2AemoxH</t>
  </si>
  <si>
    <t>Pedro Hdez. Marco</t>
  </si>
  <si>
    <t>Pedro Sánchez no se reune con ningún demócrata en Cuba. Solo verá a los verdugos. El que demoniza una dictadura española que sacó al país de la miseria y lo lanzó a la prosperidad se arrastra ante una dictadura cubana que sacó al país de la...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</si>
  <si>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https://twitter.com/hermanntertsch/status/1065693079720640512?s=04</t>
  </si>
  <si>
    <t>Villena (Alicante) España</t>
  </si>
  <si>
    <t>Noticias de Villena http://www.vinalopodigital.net</t>
  </si>
  <si>
    <t>http://www.vinalopodigital.net</t>
  </si>
  <si>
    <t>Omara Aldama</t>
  </si>
  <si>
    <t>El Presidente de los Consejos de Estado y de Ministros Miguel Díaz Canel @DiazCanelB recibió al Presidente del Gobierno del reino de España Pedro Sánchez Pérez Castejón, quien realiza una visita oficial a #Cuba</t>
  </si>
  <si>
    <t>Cubana, revolucionaria, fidelista e Infocomunicadora</t>
  </si>
  <si>
    <t>Presidente del Gobierno español rinde honores a José Martí en La Habana</t>
  </si>
  <si>
    <t>https://sptnkne.ws/kdyF</t>
  </si>
  <si>
    <t>https://www.oncenoticias.tv/nota/pedro-sanchez-inicia-historica-visita-a-cuba</t>
  </si>
  <si>
    <t>Theresa May advierte a Pedro Sánchez de que protegerá la "soberanía británica" de Gibraltar | Internacional</t>
  </si>
  <si>
    <t>CarlosOManrique Fdez</t>
  </si>
  <si>
    <t>Pdte. del Gobierno español llega a #Cuba para visita oficial -  via @Shareaholic</t>
  </si>
  <si>
    <t>Sagua la Grande, Cuba.</t>
  </si>
  <si>
    <t>Director Radio Sagua Cuba.Profesor.Patriota Cubano, antimperialista,defensor de la justicia, divulgador de la verdad.Me gusta respetar,no me gusta la traición.</t>
  </si>
  <si>
    <t>Rogelio Nahuel</t>
  </si>
  <si>
    <t>Presidente del Gobierno español rinde honores a José Martí en La Habana #JoseMartí #Cuba :  vía @SputnikMundo</t>
  </si>
  <si>
    <t>Wallmapu, La Araucanía, Chile</t>
  </si>
  <si>
    <t>Soy Mapuche #Actualidad #Política #DDHH #Desarrollo #ERNC #TICs #IndigenousPeoples #MotherEarth #Nature #Animal #Enterprise #Miscelaneas #Россия #СанктПетербург</t>
  </si>
  <si>
    <t>http://www.rogelionahuel.wordpress.com</t>
  </si>
  <si>
    <t>Edu Arias</t>
  </si>
  <si>
    <t>Con casi seguridad, Pedro Sánchez viaja a Cuba para desentarrar a Fidel Castro. Ya se sabe que le molestan los dictadores. ¿A que va a ser que no?</t>
  </si>
  <si>
    <t>Quiero dar respuesta a la izquierda y defender aquello que ama y me importa como a una gran mayoría del pueblo español.</t>
  </si>
  <si>
    <t>sitting bull</t>
  </si>
  <si>
    <t>el lider de la dictadura española se reune con el dictador cubano. Pedro Sánchez se reúne con la cúpula de la dictadura castrista en el Palacio de la Revolución</t>
  </si>
  <si>
    <t>El Diario Vasco</t>
  </si>
  <si>
    <t>https://okdiario.com/espana/2018/11/23/pedro-sanchez-reune-cupula-del-regimen-cubano-palacio-revolucion-3382388#.W_dUWCqCLs8.twitter</t>
  </si>
  <si>
    <t>San Sebastian Spain</t>
  </si>
  <si>
    <t>Información de última hora y noticias de cultura, deportes, tecnología, televisión...y toda la actualidad de Gipuzkoa, Real Sociedad, Gipuzkoa Basket y SD Eibar</t>
  </si>
  <si>
    <t>http://www.diariovasco.com</t>
  </si>
  <si>
    <t>"Sánchez aterriza en una nación donde más de 150.000 ciudadanos se han nacionalizado españoles gracias a la llamada ley de Nietos. Los cubañoles" Tribuna | Cuba, un viaje arriesgado para Pedro Sánchez; por Yoani Sánchez  vía @el_pais</t>
  </si>
  <si>
    <t>NELSON ACOSTA...PERIODISTA SIN FRONTERAS</t>
  </si>
  <si>
    <t>Nación en Orden</t>
  </si>
  <si>
    <t>Los izquierdas degradan la Democracia en el Congreso de los Diputados.</t>
  </si>
  <si>
    <t>antipopulismo</t>
  </si>
  <si>
    <t>El populismo mata</t>
  </si>
  <si>
    <t>MINHVI CARABOBO</t>
  </si>
  <si>
    <t>Director Ministerial Pedro Sánchez junto al Alcalde de Guacara Joan Castañeda disfrutando de los actos culturales durante el #JuevesDeVivienda</t>
  </si>
  <si>
    <t>https://pbs.twimg.com/media/Dspjz1vU0AAqEF5.jpg</t>
  </si>
  <si>
    <t>https://www.instagram.com/minhvi_carabobo/</t>
  </si>
  <si>
    <t>https://wp.me/p26M0z-BSk</t>
  </si>
  <si>
    <t>Anti-Podemos</t>
  </si>
  <si>
    <t>El Okupa de Moncloa se reúne con la cúpula de la dictadura cubana en el Palacio de la Revolución. Es vomitivo.</t>
  </si>
  <si>
    <t>Plataforma de españoles y venezolanos a los que no nos gusta Podemos.</t>
  </si>
  <si>
    <t>https://www.facebook.com/pages/Espa%C3%B1oles-y-Venezolanos-Anti-Podemos/885396501484393?sk=timeline</t>
  </si>
  <si>
    <t>Con estos dos y sus aliados. España. A la mierda.!!!!!!!Pedro Sánchez choca con Pablo Iglesias por la duración de la legislatura si no hay Presupuestos</t>
  </si>
  <si>
    <t>https://www.elnortedecastilla.es/nacional/sanchez-choca-iglesias-presupuestos-20181117211432-ntrc.html</t>
  </si>
  <si>
    <t>Presidente del Gobierno español Pedro Sánchez, llega a Cuba para visita oficial</t>
  </si>
  <si>
    <t>https://pbs.twimg.com/media/DspgB88VAAAt_YT.jpg</t>
  </si>
  <si>
    <t>W Radio Colombia</t>
  </si>
  <si>
    <t>El presidente de España, Pedro Sánchez, inicia su visita a La Habana. Los detalles en #Las50W &gt;&amp;gt;</t>
  </si>
  <si>
    <t>http://bit.ly/1TgN8me</t>
  </si>
  <si>
    <t>https://pbs.twimg.com/media/Dspibe8WsAYuorf.jpg</t>
  </si>
  <si>
    <t>Perfil oficial de W Radio en Colombia, bajo la dirección de Julio Sánchez Cristo. Más piel, más W.</t>
  </si>
  <si>
    <t>http://www.wradio.com.co</t>
  </si>
  <si>
    <t>Hijos de Putas:Me gustaría y me encantaría verles que les hagan está atrocidades al Pablo Yglesias a Chenique,Todos esos perros flautas que son dé ése país y viven aquí a cuerpo de REY y reniegan dé España, que sé los lleven para ya y cada día les hagan esa opción y Pedro Sánchez RT @TorresAren: EN #200AñosRepúblicaDeVenezuela NUNCA Se habían visto estás atrocidades como las que hace la GUARDIA NAZI-ONAL del DICTADOR NICOLÁS MADURO En el ESTADO FALCÓN VENEZUELA A los opositores alREGIMEN Y la comunidad internacional🤐 #21Nov #22Nov #FelizMiercoles</t>
  </si>
  <si>
    <t>https://twitter.com/TorresAren/status/1064991662219411456
https://twitter.com/AdamSmithFree/status/1056955827666456576/video/1</t>
  </si>
  <si>
    <t>FOROtv</t>
  </si>
  <si>
    <t>Pedro Sánchez, jefe del gobierno español, inicia histórica visita a #Cuba</t>
  </si>
  <si>
    <t>http://ow.ly/Oui730mIIMZ</t>
  </si>
  <si>
    <t>https://pbs.twimg.com/media/Dsph_HhUcAAu6Ye.jpg</t>
  </si>
  <si>
    <t>México DF</t>
  </si>
  <si>
    <t>El canal de información de la televisión mexicana</t>
  </si>
  <si>
    <t>http://www.forotv.com.mx</t>
  </si>
  <si>
    <t>La visita de Pedro Sánchez a Cuba es la primera de un presidente español en 32 años a Cuba. Pronto se cumplen 120 años de la independencia de la isla</t>
  </si>
  <si>
    <t>http://bit.ly/2Ad4Zpa</t>
  </si>
  <si>
    <t>Igmo89</t>
  </si>
  <si>
    <t>Pedro Sánchez evita condenar la actitud de Gabriel Rufián en el Congreso: "Todos tenemos la culpa"  vía @elmundoes</t>
  </si>
  <si>
    <t>LA PUTA VIDA</t>
  </si>
  <si>
    <t>Pedro Sánchez visita hoy Cuba: claves de este viaje histórico</t>
  </si>
  <si>
    <t>https://bit.ly/2AjJwLc</t>
  </si>
  <si>
    <t>https://pbs.twimg.com/media/DsphWdYUcAA9OsB.jpg</t>
  </si>
  <si>
    <t>geopoliting</t>
  </si>
  <si>
    <t>#Pedro #Sánchez y #Miguel Díaz-Canel conversan a solas en La Habana</t>
  </si>
  <si>
    <t>https://geopoliting.com/UKVg</t>
  </si>
  <si>
    <t>Sacamos la paja y dejamos la información</t>
  </si>
  <si>
    <t>http://geopoliting.com</t>
  </si>
  <si>
    <t>Si franco era un dictador. Que hace en cuba no hay dictadores????Pedro Sánchez evitará reunirse con los disidentes en su visita relámpago a Cuba  vía @nortecastilla</t>
  </si>
  <si>
    <t>https://www.elnortedecastilla.es/nacional/pedro-sanchez-evitara-20181122001218-ntrc.html</t>
  </si>
  <si>
    <t>Ramón Bahe</t>
  </si>
  <si>
    <t>¡EL DESEO DE TODOS LOS ESPAÑOLES! !MENSAJE AL NUEVO PESOE PEDRO SANCHEZ Y SU EQUIPO COLABORADOR! SE PUEDEN APOYAR EN UN GRAN ECONOMISTA CATEDRÁTICO ESPAÑOL JUAN TORRES PARA LOGRAR UN DIGNO PRESENTE Y FUTURO DE NUESTRAS GENERACIONES COMPARTIR hacerloVIRAL</t>
  </si>
  <si>
    <t>https://youtu.be/hZ_girLE2RY</t>
  </si>
  <si>
    <t>UNIVERSAL</t>
  </si>
  <si>
    <t>LA POLÍTICA ES UN “HÁBITO“ SU OBLIGACIÓN SERVIR AL PUEBLO HACIA UN BIEN COMÚN, NO UTILIZARLA PARA ROBAR EN LAS ARCAS PÚBLICAS Y VACIAR LA HUCHA DE LAS PENSIONES</t>
  </si>
  <si>
    <t>España busca estrechar lazos con Cuba tras 32 años de distancia.</t>
  </si>
  <si>
    <t>http://bit.ly/2Ady9EO</t>
  </si>
  <si>
    <t>Tres Cantos, España</t>
  </si>
  <si>
    <t>teleSUR TV</t>
  </si>
  <si>
    <t>Pdte. del Gobierno español llega a #Cuba🇨🇺 para visita oficial  El presidente del Gobierno de España Pedro Sánchez durará dos días en la isla caribeña para firmar diferentes acuerdos con el mandatario cubano.</t>
  </si>
  <si>
    <t>https://bit.ly/2Rc0DpP</t>
  </si>
  <si>
    <t>Con más 40 corresponsales en el mundo, alzamos nuestra voz donde otros medios callan. teleSUR es la señal informativa de América Latina</t>
  </si>
  <si>
    <t>Pedro Sánchez se reúne con la cúpula de la dictadura cubana en el Palacio de la Revolución -</t>
  </si>
  <si>
    <t>https://noticierouniversal.com/actualidad/pedro-sanchez-se-reune-con-la-cupula-de-la-dictadura-cubana-en-el-palacio-de-la-revolucion/</t>
  </si>
  <si>
    <t>#ULTIMAHORA Después de la ofrenda a #JoséMartí, @sanchezcastejon y @DiazCanelB se reúnen para tratar temas de la relación bilateral. #Cuba mantiene relaciones diplomáticas ininterrumpidas con #España desde el año 1902.  @CubaMINREX #PedroSánchezEnCuba</t>
  </si>
  <si>
    <t>https://pbs.twimg.com/media/DspeUNsU8AEPb-6.jpg</t>
  </si>
  <si>
    <t>Presidente del Gobierno español rinde honores a José Martí en La Habana - LA HABANA (Sputnik) — El presidente del Gobierno español, Pedro Sánchez, rindió honores ante el busto del Héroe Nacional de Cuba, Jose Ma...</t>
  </si>
  <si>
    <t>http://bit.ly/2FF9gHV</t>
  </si>
  <si>
    <t>La Jornada</t>
  </si>
  <si>
    <t>Pedro @sanchezcastejon tiene "dos grandes objetivos": "La promoción directa de los intereses y valores españoles en #Cuba y reforzar el papel de liderazgo ibérico en la relación europea con América Latina".</t>
  </si>
  <si>
    <t>Cuenta de Twitter oficial. Sigue también a @LaJornada para noticias de la versión impresa.</t>
  </si>
  <si>
    <t>http://www.jornada.unam.mx</t>
  </si>
  <si>
    <t>.@sanchezcastejon ya está en #Cuba. Se reúne a solas con @DiazCanelB Durante el encuentro de mandatarios de #Cuba y #España "se hablará de todo": buscan normalizar la relación entre los dos países.</t>
  </si>
  <si>
    <t>https://oncubanews.com/cuba/pedro-sanchez-y-miguel-diaz-canel-conversan-a-solas-en-la-habana/</t>
  </si>
  <si>
    <t>Cuba News 🇨🇺</t>
  </si>
  <si>
    <t>On Cuba News: Pedro Sánchez y Miguel Díaz-Canel conversan a solas en La Habana</t>
  </si>
  <si>
    <t>https://ift.tt/2Ty0Tkx</t>
  </si>
  <si>
    <t>Cuba, Caribbean</t>
  </si>
  <si>
    <t>Comprehensive News of the Caribbean Island of Cuba🇨🇺</t>
  </si>
  <si>
    <t>La degradación del PSOE con Pedro Sánchez es insuperable RT @okdiario: Salvador: “He recibido whatsApp de diputados socialistas” apoyándome</t>
  </si>
  <si>
    <t>Omar</t>
  </si>
  <si>
    <t>VIDEO: Sánchez se reúne con Díaz Canel en primera visita de un presidente español a Cuba en 32 años</t>
  </si>
  <si>
    <t>http://dlvr.it/Qrv1lD</t>
  </si>
  <si>
    <t>Cristiano, apoyando el Socialismo, Radical. Soy Chavista con el petróleo al precio que sea!</t>
  </si>
  <si>
    <t>https://pbs.twimg.com/media/DspdBgAVAAAi-VF.jpg</t>
  </si>
  <si>
    <t>https://goo.gl/Vk9Qnt</t>
  </si>
  <si>
    <t>https://pbs.twimg.com/media/Dspc4c3UcAAhbIu.jpg</t>
  </si>
  <si>
    <t>Televisión Granma</t>
  </si>
  <si>
    <t>Luego de tres decadas de no visitar a #Cuba un presidente de #España llega al país en visita oficial Pedro Sánchez RT @chamberohoy: El presidente del Gobierno de #España🇪🇸, Pedro Sánchez, llegó a #Cuba🇨🇺 en visita oficial de dos días, durante la cual sostendrá conversaciones con autoridades de la nación caribeña.</t>
  </si>
  <si>
    <t>https://twitter.com/chamberohoy/status/1065752476484284417</t>
  </si>
  <si>
    <t>https://pbs.twimg.com/media/DspQIGCVYAE7VFl.jpg</t>
  </si>
  <si>
    <t>Bayamo, Cuba</t>
  </si>
  <si>
    <t>Telecentro provincial de Granma, Cuba, trasmitimos desde Bayamo, Cuna de la Nacionalidad Cubana (CNC)</t>
  </si>
  <si>
    <t>http://www.cnctv.icrt.cu</t>
  </si>
  <si>
    <t>Angelo del Aqua</t>
  </si>
  <si>
    <t>Extremadura, España</t>
  </si>
  <si>
    <t>Llegó a Cuba el Presidente del Gobierno de España, Pedro Sánchez Pérez-Castejón:  via @YouTube</t>
  </si>
  <si>
    <t>http://youtu.be/l_RvkJHlhgY?a</t>
  </si>
  <si>
    <t>Juank</t>
  </si>
  <si>
    <t>http://bitly.com/2OXHe9W</t>
  </si>
  <si>
    <t>San Salvador, El Salvador</t>
  </si>
  <si>
    <t>#Blogger #Tech #Política #Monitoreo #Discapacidad #Workaholic #FMLN #ElSalvador 🇸🇻 –de cuando en vez, bruto para decir las cosas– 🤔 ¡Así en corto!</t>
  </si>
  <si>
    <t>https://www.facebook.com/JCSura</t>
  </si>
  <si>
    <t>Adrià IC</t>
  </si>
  <si>
    <t>¿Qué esperan los empresarios españoles en Cuba de la visita de Pedro Sánchez? @lavanguardia</t>
  </si>
  <si>
    <t>http://shr.gs/mFvYK9Q</t>
  </si>
  <si>
    <t>24. La il·lusió és el motor del canvi.</t>
  </si>
  <si>
    <t>osvaldo guzman</t>
  </si>
  <si>
    <t>Toronto, Ontario</t>
  </si>
  <si>
    <t>El que muere por la justicia,vive por siempre!</t>
  </si>
  <si>
    <t>areksu te rajo</t>
  </si>
  <si>
    <t>Hola pedro sanchez — soy un gay. Joder tio la saku recien muerta?</t>
  </si>
  <si>
    <t>¡Cáspita! Una vasija para ingerir líquidos manufacturada con barro poroso. Tengo la certeza de que me resultara útil para el consumo de monóxido de dihidrógeno.</t>
  </si>
  <si>
    <t>Alexis Fagúndez</t>
  </si>
  <si>
    <t>https://actualidad.rt.com/actualidad/296596-pedro-sanchez-reune-miguel-diaz?utm_source=rss&amp;utm_medium=rss&amp;utm_campaign=all</t>
  </si>
  <si>
    <t>ElQueSeMeteConVnzlaSeSeca</t>
  </si>
  <si>
    <t>Periódico Granma</t>
  </si>
  <si>
    <t>El presidente del Gobierno de #España, Pedro Sánchez (@sanchezcastejon), llegó hoy a #Cuba en visita oficial de dos días.</t>
  </si>
  <si>
    <t>http://www.granma.cu/cuba/2018-11-22/presidente-del-gobierno-espanol-llega-a-cuba-en-visita-oficial-22-11-2018-18-11-23</t>
  </si>
  <si>
    <t>https://pbs.twimg.com/media/DspbpjRU4AEd-wR.jpg</t>
  </si>
  <si>
    <t>Periódico Granma, Órgano oficial del Comité Central del Partido Comunista de Cuba</t>
  </si>
  <si>
    <t>http://www.granma.cu</t>
  </si>
  <si>
    <t>Luis</t>
  </si>
  <si>
    <t>Suso de repente está hablando como Pedro Sánchez cuando fue entrevistado por Ana Pastor #GHVIPGala11</t>
  </si>
  <si>
    <t>Ex-Antwerpenaar y traductor que no ejerce. Escribo y tuiteo sobre Bélgica 🇧🇪 en @tribudesbelges. #Eurovision</t>
  </si>
  <si>
    <t>https://latribudesbelges.wordpress.com</t>
  </si>
  <si>
    <t>https://pbs.twimg.com/media/DspbbF5VYAETPw-.jpg</t>
  </si>
  <si>
    <t>Anacleto Panceto</t>
  </si>
  <si>
    <t>Pedro Sánchez da un ultimátum a Theresa May: "O compartimos Gibraltar o tiramos los monos al río"</t>
  </si>
  <si>
    <t>Zamora</t>
  </si>
  <si>
    <t>Primero vienen las sonrisas, luego las mentiras, por último llegan las balas...co-Creador/a del PANCETISMO y Mayordomo de @mematatugata</t>
  </si>
  <si>
    <t>http://www.alcantarillasocial.com/author/xuxipc/</t>
  </si>
  <si>
    <t>@tanyareloj</t>
  </si>
  <si>
    <t>#Cuba El presidente del Gobierno de España, Pedro Sánchez, rindió hoy homenaje al héroe nacional de Cuba, José Martí, en el memorial que lleva el nombre del prócer independentista.@AlinaSnchez @yoanduar87 @manolitoweb @liubamoreno</t>
  </si>
  <si>
    <t>Periodista de Radio Reloj, soy defensora de la justicia y creo en la construcción de una Cuba más próspera con el esfuerzo de todos.</t>
  </si>
  <si>
    <t>Sánchez se reúne con Díaz-Canel en la primera visita oficial de un presidente español a Cuba en 32 años</t>
  </si>
  <si>
    <t>https://pbs.twimg.com/media/DspaSP7VsAAOzFW.jpg</t>
  </si>
  <si>
    <t>ALHAMA INDEPENDIENTE</t>
  </si>
  <si>
    <t>VISITA HISTÓRICA A CUBA DE PEDRO SÁNCHEZ, JEFE DE GOBIERNO ESPAÑOL</t>
  </si>
  <si>
    <t>http://informacionalhamaindependiente.blogspot.com.es/</t>
  </si>
  <si>
    <t>Presidente del Gobierno español, Pedro Sánchez, arribó a La Habana para visita oficial</t>
  </si>
  <si>
    <t>https://ift.tt/2zpjFlq</t>
  </si>
  <si>
    <t>Nelson Martínez</t>
  </si>
  <si>
    <t>#NoNegocioConDictadores Pedro Sánchez llega a La Habana para reunirse con el dictador Díaz-Canel</t>
  </si>
  <si>
    <t>https://okdiario-com.cdn.ampproject.org/v/s/okdiario.com/espana/2018/11/22/pedro-sanchez-llega-habana-reunirse-dictador-diaz-canel-3382248/amp?amp_js_v=a2&amp;amp_gsa=1#referrer=https%3A%2F%2Fwww.google.com&amp;amp_tf=De%20%251%24s&amp;ampshare=https%3A%2F%2Fokdiario.com%2Fespana%2F2018%2F11%2F22%2Fpedro-sanchez-llega-habana-reunirse-dictador-diaz-canel-3382248</t>
  </si>
  <si>
    <t>Todos los pícaros son tontos, los buenos son los que ganan a la larga. JM</t>
  </si>
  <si>
    <t>Ariela</t>
  </si>
  <si>
    <t>El Partido Conservador (Tory) ve España como súbdito.</t>
  </si>
  <si>
    <t>https://larepublica.pe/mundo/1362257-youtube-tension-reino-unido-espana-theresa-may-le-advierte-pedro-sanchez-defenderan-soberania-gibraltar-video</t>
  </si>
  <si>
    <t>Soy peruana y adoro a mi país: Estoy felizmente casada y vivo en Colombia</t>
  </si>
  <si>
    <t>http://arielocracia.blogspot.com</t>
  </si>
  <si>
    <t>ANTARES CHILE</t>
  </si>
  <si>
    <t>Sánchez inicia su viaje a Cuba con una reunión con Díaz-Canel en La Habana</t>
  </si>
  <si>
    <t>CENTRO DE ESTUDIOS DE LA REALIDAD CONTEMPORANEA Y ACTUAL. Opinión e información libre. Asociada en investigación y desarrollo social a Institutos Antares. Chile</t>
  </si>
  <si>
    <t>Acaymo Franchy</t>
  </si>
  <si>
    <t>El Rey Felipe va a Arabia Saudí. Casado y Rivera no dicen nada de derechos humanos. El Presidente Pedro Sánchez va a Cuba. Casado y Rivera se indignan porque Cuba no respeta los derechos humanos.</t>
  </si>
  <si>
    <t>Volvamos a desaprender</t>
  </si>
  <si>
    <t>Noticieros Televisa</t>
  </si>
  <si>
    <t>Sánchez tiene dos grandes objetivos: “La promoción directa de los intereses y valores españoles en Cuba y reforzar el papel de liderazgo ibérico en la relación europea con América Latina”</t>
  </si>
  <si>
    <t>https://noticieros.televisa.com/ultimas-noticias/cuba-gobierno-espana-visita-pedro-sanchez/</t>
  </si>
  <si>
    <t>Mexico City</t>
  </si>
  <si>
    <t>Noticias de México y el mundo, entrevistas, fotos, videos, reportajes, coberturas, blogs e información</t>
  </si>
  <si>
    <t>http://noticieros.televisa.com/</t>
  </si>
  <si>
    <t>Pedro Sánchez y Miguel Díaz-Canel se reúnen en La Habana</t>
  </si>
  <si>
    <t>https://ift.tt/2DSYT1n</t>
  </si>
  <si>
    <t>Herwarth Morales</t>
  </si>
  <si>
    <t>Pedro Sánchez tras hablar con Theresa May sobre Gibraltar: "Si no hay cambios, vetaremos el Brexit"</t>
  </si>
  <si>
    <t>https://actualidad.rt.com/actualidad/296586-pedro-sanchez-hablar-theresa-may</t>
  </si>
  <si>
    <t>Li. Pe.</t>
  </si>
  <si>
    <t>Engineer \ Writer \ Ecologist</t>
  </si>
  <si>
    <t>http://aprendaareciclaroro.blogspot.com/</t>
  </si>
  <si>
    <t>afrvet esp</t>
  </si>
  <si>
    <t>Paris, IL</t>
  </si>
  <si>
    <t>ᴇxᴇ ꜱᴩᴇᴀʀꜱ</t>
  </si>
  <si>
    <t>Despliegue de medios de transporte para llevar a Pedro Sánchez desde La Moncloa hasta Valladolid</t>
  </si>
  <si>
    <t>https://www.antena3.com/noticias/espana/despliegue-de-medios-de-transporte-para-llevar-de_201811215bf572120cf20582280a26b3.html</t>
  </si>
  <si>
    <t>👍🇫🇧http://fb.com/ExeSpearsRRPP ⓈⓝⓐⓟⒸⓗⓐⓣ http://snapchat.com/add/exespears 🔊SPOTIFY http://open.spotify.com/user/exespears 🅈🄾🅄🅃🅄🄱🄴 http://youtube.com/ExeSpears ℝℝℙℙ en @FiestaNix</t>
  </si>
  <si>
    <t>https://www.instagram.com/exespears</t>
  </si>
  <si>
    <t>Emilio Fernandez</t>
  </si>
  <si>
    <t>Llega Pedro Sánchez a Cuba en histórica visita</t>
  </si>
  <si>
    <t>basta de tanta simulación e impunidad es indignante</t>
  </si>
  <si>
    <t>margayeya@gmail.com</t>
  </si>
  <si>
    <t>Pedro Sánchez, si no lo detienen a tiempo, acabará con España . RT @Golpealos: Atención: #22Nov El presidente no "elegido" de #España el comunista Pedro Sánchez en visita oficial a #Cuba acompañado de un grupo de empresarios españoles que no les importa la violación de DDHH del pueblo cubano | España el país con mas inversiones hoteleras en la isla</t>
  </si>
  <si>
    <t>https://twitter.com/Golpealos/status/1065598421288058881</t>
  </si>
  <si>
    <t>https://pbs.twimg.com/media/DsnEHM0W0AIFxRE.jpg</t>
  </si>
  <si>
    <t>Estudié en Instituto Educacional Altamira, Universidad Católica Andrés Bello y en Beaver College, Pensilvania.</t>
  </si>
  <si>
    <t>Pedro Sánchez viaja a La Habana  Pedro Sánchez viaja a La Habana. Tras tres décadas un Presidente de Gobierno de España vuela a Cuba según el siguiente programa. 16:10 Llegada del presidente del Gobierno del Reino de España al Aeropuerto Internacional …</t>
  </si>
  <si>
    <t>https://ift.tt/2Kt23th</t>
  </si>
  <si>
    <t>JaimeDSJ</t>
  </si>
  <si>
    <t>Que Pedro Sánchez convoque elecciones RT @Ivnn__: Dime qué quieres</t>
  </si>
  <si>
    <t>https://twitter.com/Ivnn__/status/1064978401725960199</t>
  </si>
  <si>
    <t>https://pbs.twimg.com/media/DseQMMmW0AM3Qxr.jpg</t>
  </si>
  <si>
    <t>Madrid,España</t>
  </si>
  <si>
    <t>EspaLib🗽 🇪🇺🇪🇸/ C'S🧡/Instagram: @espa_lib</t>
  </si>
  <si>
    <t>Isawissex</t>
  </si>
  <si>
    <t>Pedro Sánchez no se reunirá con la oposición al castrismo en su viaje a Cuba  vía @indpcom</t>
  </si>
  <si>
    <t>Venezuela- Oxford UK</t>
  </si>
  <si>
    <t>Journalist, was born in Caracas, I love chocolate, good music, hobbies, professional traveler🇬🇧❤️🇻🇪</t>
  </si>
  <si>
    <t>https://pbs.twimg.com/media/DspVzh6VsAIyI2j.jpg</t>
  </si>
  <si>
    <t>RED+ Noticias</t>
  </si>
  <si>
    <t>#EnVivo | El presidente de Cuba, Miguel Díaz-Canel, recibirá en las últimas horas en La Habana al presidente del gobierno español, Pedro Sánchez. Por @RedMasTv. #REDMásInternacional</t>
  </si>
  <si>
    <t>http://bit.ly/2AikDzQ</t>
  </si>
  <si>
    <t>De domingo a domingo a las 8:00 pm por @RedMasTv Canales 107/1007HD de Claro y en http://redmas.com.co. Director: @JuanLozano_R</t>
  </si>
  <si>
    <t>http://www.redmas.com.co</t>
  </si>
  <si>
    <t>#Noticias del #Perú</t>
  </si>
  <si>
    <t>#Mundo | VIDEO: Sánchez se reúne con Díaz Canel en primera visita de un presidente español a Cuba en 32 años</t>
  </si>
  <si>
    <t>http://ow.ly/D7gC101mKd4</t>
  </si>
  <si>
    <t>https://pbs.twimg.com/media/DspVsofU4AAtPHE.jpg</t>
  </si>
  <si>
    <t>#PERÚ / EUROPA / #ASIA / LatAm</t>
  </si>
  <si>
    <t>#AlanGarcía #KeikoFujimori #Chávarry #Odebrecht #Lavajato @RPPnoticias #Vizcarra @exitosape #Política @elcomercio_peru @CanalN_ @larepublica_pe</t>
  </si>
  <si>
    <t>https://twitter.com/peruenlanoticia</t>
  </si>
  <si>
    <t>Globedia</t>
  </si>
  <si>
    <t>Sánchez asegura que el #Gobierno "vetará" el acuerdo del Brexit si no defiende "los intereses de #Espana" sobre Gibraltar #Pedro_Sanchez #Reino_Unido #Twitter</t>
  </si>
  <si>
    <t>https://twitter.com/okdiario/status/1065337490817597440
https://okdiario.com/espana/2018/11/21/sanchez-mando-coche-oficial-vacio-valladolid-hacer-8-kms-del-aeropuerto-ciudad-3377374?utm_term=Autofeed&amp;utm_campaign=ok&amp;utm_medium=Social&amp;utm_source=Twitter#Echobox=1542831223</t>
  </si>
  <si>
    <t>http://es.globedia.com/sanchez-asegura-gobierno-vetara-acuerdo-brexit-defiende-intereses-espana-gibraltar</t>
  </si>
  <si>
    <t>Tabarnia, España</t>
  </si>
  <si>
    <t>En el mundo</t>
  </si>
  <si>
    <t>http://Globedia.com es un diario colaborativo online. ¡Únete y escribe tus propias noticias!</t>
  </si>
  <si>
    <t>http://globedia.com</t>
  </si>
  <si>
    <t>Federico Clemente</t>
  </si>
  <si>
    <t>VIDEO: Sánchez se reúne con Díaz Canel en primera visita de un presidente español a Cuba en 32 años El presidente del Gobierno español arribó a La Habana, con el objetivo de "normalizar, estabilizar y profundizar las relaciones entre España y Cuba",</t>
  </si>
  <si>
    <t>El jefe de Estado cubano @DiazCanelB recibió al presidente del Gobierno español, Pedro Sánchez y luego ambos realizaron las conversaciones oficiales como parte del programa de visita oficial de dos días a #Cuba</t>
  </si>
  <si>
    <t>http://www.trabajadores.cu/20181122/presidente-del-gobierno-espanol-llega-a-cuba-en-visita-oficial/</t>
  </si>
  <si>
    <t>Armando Vergara B.</t>
  </si>
  <si>
    <t>📌Presidente de #Cuba🇨🇺, Miguel Díaz-Canel @DiazCanelB recibió en el Palacio de la Revolución al presidente del Gobierno de #España 🇪🇸, Pedro Sánchez @sanchezcastejon, quien inició un intenso programa desde su arribo a #LaHabana @CubaMINREX 🇨🇺🇪🇸</t>
  </si>
  <si>
    <t>Subdirector General de Asuntos Bilaterales. Ministerio de Relaciones Exteriores.República de #Cuba🇨🇺/Deputy Director General for bilateral affairs. MFA of Cuba.</t>
  </si>
  <si>
    <t>W.R</t>
  </si>
  <si>
    <t>Pedro Sánchez llega este jueves a Cuba para rendir pleitesía al régimen castrista - Libertad Digital</t>
  </si>
  <si>
    <t>Desmontando toda la farsa cubana.🔧</t>
  </si>
  <si>
    <t>RAFAEL VASQUEZ</t>
  </si>
  <si>
    <t>Pedro Sánchez se dirige a los medios tras visitar al rey Mohamed VI de Marruecos, en directo</t>
  </si>
  <si>
    <t>http://dlvr.it/QrtxCS</t>
  </si>
  <si>
    <t>https://pbs.twimg.com/media/DspU_THVYAAWHmw.png</t>
  </si>
  <si>
    <t>Abogado, Escritor, Inclinado A Las Inversiones, Economía, Mundo &amp; Negocios. FACEBOOK: Rafael Vasquez Mundo y Negocios y en INSTAGRAM: @rafaelvasquez7</t>
  </si>
  <si>
    <t>http://operacionforex.com</t>
  </si>
  <si>
    <t>https://pbs.twimg.com/media/DspUoXrU4AEhm_k.jpg</t>
  </si>
  <si>
    <t>Wikinoticias</t>
  </si>
  <si>
    <t>Cuba - Tras aterrizar en La Habana, el presidente español, Pedro Sánchez, se reúne a solas con el mandatario cubano, Miguel Díaz-Canel, quien lo recibió en la entrada del Palacio de la Revolución (vía @EFEnoticias).</t>
  </si>
  <si>
    <t>Mundial</t>
  </si>
  <si>
    <t>Somos la agencia de noticias en español de @Wikimedia. Reunimos fuentes de todo el Mundo para informarte al momento.</t>
  </si>
  <si>
    <t>http://es.wikinews.org</t>
  </si>
  <si>
    <t>Ana  urdaneta</t>
  </si>
  <si>
    <t>Horror!!!.Pedro Sánchez llegó a Cuba y se reunirá con Díaz-Canel: Despierta España.</t>
  </si>
  <si>
    <t>http://www.noticierodigital.com/2018/11/pedro-sanchez-llego-cuba-se-reunira-diaz-canel/</t>
  </si>
  <si>
    <t>VENEZOLANA QUE AMA LA LIBERTAD.</t>
  </si>
  <si>
    <t>Radio Maisí</t>
  </si>
  <si>
    <t>Bienvenido a #Cuba, Pedro Sánchez, Presidente del Gobierno de España.</t>
  </si>
  <si>
    <t>https://pbs.twimg.com/media/DspUIu9V4AA97-i.jpg</t>
  </si>
  <si>
    <t>Maisí, Guantánamo, Cuba</t>
  </si>
  <si>
    <t>Radio Maisí es una emisora comunitaria del extremo más oriental de Cuba, en guantanamo. Síguenos para que conozca temas que seguro serán de su interés.</t>
  </si>
  <si>
    <t>http://maisisolnaciente.wordpress.com/</t>
  </si>
  <si>
    <t>Manuel  🇪🇸 ✋</t>
  </si>
  <si>
    <t>La foto de Pedro Sánchez "orando" ante la tumba de Fidel Castro va a ser impagable. RT @Talaverano78: Pedro Sánchez viajará a Cuba y pedirá que se exhume al dictador Fidel Castro y se prohiba hacerle homenajes. Vamos, digo yo.</t>
  </si>
  <si>
    <t>https://twitter.com/Talaverano78/status/1065703656463523840</t>
  </si>
  <si>
    <t>Afiliado a Fuerza Nueva en 1976</t>
  </si>
  <si>
    <t>JF</t>
  </si>
  <si>
    <t>Pedro Sánchez, Presidente del Gobierno de España arribó a #Cuba para iniciar visita oficial. Fue recibido por el vicecanciller @RogelioSierraD  #Toronto #Ottawa</t>
  </si>
  <si>
    <t>http://www.cubadebate.cu/noticias/2018/11/22/presidente-del-gobierno-espanol-arribo-a-cuba-para-iniciar-visita-oficial/#.W_dB-0RQJEg.twitter</t>
  </si>
  <si>
    <t>https://pbs.twimg.com/media/DspTcDHV4AAheuu.jpg</t>
  </si>
  <si>
    <t>Canada</t>
  </si>
  <si>
    <t>Por un orden justo y digno http://cubanosjgg.blogspot.com</t>
  </si>
  <si>
    <t>http://tema1tema.blogspot.com</t>
  </si>
  <si>
    <t>RussiaToday | VIDEO: Sánchez se reúne con Díaz Canel en primera visita de un presidente español a Cuba en 32 años</t>
  </si>
  <si>
    <t>http://dlvr.it/Qrtwcr</t>
  </si>
  <si>
    <t>https://pbs.twimg.com/media/DspT-MuU8AAaWEq.jpg</t>
  </si>
  <si>
    <t>gojamLULAmaj</t>
  </si>
  <si>
    <t>São Paulo - Brasil</t>
  </si>
  <si>
    <t>Manifestem-se! Só um velho engenheiro econômico aposentado, um vagabundo a mais, segundo um conhecido sociopata canalha! #EsquerdistasSeguemEsquerdistas</t>
  </si>
  <si>
    <t>Julia Fernandez</t>
  </si>
  <si>
    <t>Doctora en Fisica Nuclear Universidad Louis Pasteur ( Strasbourg) Consultora de INCYDE Consultora Lean Management e Innovación ( Lean Canvas)</t>
  </si>
  <si>
    <t>https://pbs.twimg.com/media/DspTRG8U4AApnBU.jpg</t>
  </si>
  <si>
    <t>Público</t>
  </si>
  <si>
    <t>Telefónica, Iberia, Uría, Air Europa o CEOE: las empresas que viajan con Sánchez a Cuba</t>
  </si>
  <si>
    <t>Twitter oficial del Diario Público. @Memoria_Publica @TodasPublico @pub_sinmordazas @yoanimal_p @tremending</t>
  </si>
  <si>
    <t>http://www.publico.es</t>
  </si>
  <si>
    <t>https://www.elconfidencial.com/espana/2018-11-22/telefonica-iberia-air-europa-ceo-empresas-pedro-sanchez-cuba_1663690/?utm_source=twitter&amp;utm_medium=social&amp;utm_campaign=NacionalDiarioAutomatico</t>
  </si>
  <si>
    <t>✍🏼 OPINIÓN | Cómo y por qué Pedro Sánchez ha estropeado su experimento  Por Carlos Elordi</t>
  </si>
  <si>
    <t>walewska</t>
  </si>
  <si>
    <t>Excelente ⁦@eugenionarbaiza⁩ Los socios de Pedro Sánchez degradan la democracia en el Congreso de los Diputados. Por Eugenio Narbaiza - La Paseata</t>
  </si>
  <si>
    <t>el Mundo</t>
  </si>
  <si>
    <t>Anticomunista,anti-religiones extremistas, anti-feministas radicales.Bloqueada por Iglesias, Otegi,Boye,W.Toledo,Diosdado Cabello y suma y sigue! Amo a 🇻🇪🇪🇸</t>
  </si>
  <si>
    <t>Eso eso que lo expliquen tanto la Susana Díaz como el míserable traídor dé PEDRO SÁNCHEZ. RT @charomerlos: #ElCascabel22N por qué bloqueasteis la fiscalización de la fusión de hospitales en Granada?</t>
  </si>
  <si>
    <t>https://twitter.com/charomerlos/status/1065731506960826369
https://www.granadahoy.com/granada/Cs-PSOE-iniciativa-fiscalizar-desfusion_0_1221178060.html</t>
  </si>
  <si>
    <t>https://pbs.twimg.com/media/DspSEaMXgAA3ipB.jpg</t>
  </si>
  <si>
    <t>Bilbao</t>
  </si>
  <si>
    <t>Pedro Sánchez llega a Cuba para normalizar las relaciones  vía @elportaluco</t>
  </si>
  <si>
    <t>https://elportaluco.com/pedro-sanchez-llega-a-cuba-para-normalizar-las-relaciones/</t>
  </si>
  <si>
    <t>Noticias de Bilbao, sus pueblos y el resto del mundo. Revista Digital de actualidad, opinión y viajes, comic, cine y curiosidades</t>
  </si>
  <si>
    <t>http://www.bilbao24horas.com</t>
  </si>
  <si>
    <t>Antonio de la Torre #ConvocatoriaPorEspaña</t>
  </si>
  <si>
    <t>Recomendable lectura .@BernardoRabassa  Esperemos que llegue su invierno antes de que España se congele del todo. El @PSOE ya ha hecho bastante daño en la Historia de España desde su aparición hace casi 140 años de los que la mitad estuvo desaparecido</t>
  </si>
  <si>
    <t>https://www.diariocritico.com/noticia/523504/opinion/el-otono-de-pedro-sanchez.htm</t>
  </si>
  <si>
    <t>Cordobés que defiende educación, respeto, esfuerzo y mérito, como valores básicos de convivencia y logro de objetivos ¿Es tan difícil? España nos lo agradecerá.</t>
  </si>
  <si>
    <t>CdV Salamanca</t>
  </si>
  <si>
    <t>Entre comunistasvandavel juego.. Pedro Sánchez inicia una visita a Cuba sin citas con la disidencia  vía @elpais_espana</t>
  </si>
  <si>
    <t>https://elpais.com/politica/2018/11/21/actualidad/1542810485_448113.html?id_externo_rsoc=TW_CC</t>
  </si>
  <si>
    <t>Salamanca, España</t>
  </si>
  <si>
    <t>Delegación salmantina del movimiento en favor de las libertades civiles y el derecho de propiedad. (@clubdeviernes) salamanca@elclubdelosviernes.org</t>
  </si>
  <si>
    <t>http://www.elclubdelosviernes.org</t>
  </si>
  <si>
    <t>Lord Agus Targaryen🐉♣️🇯🇴</t>
  </si>
  <si>
    <t>Viendo lo que le mola a Pedro Sánchez ir a todos lados en el Falcón, Helicóptero y demás, no te extrañe que pronto se construya una Estrella de la Muerte. RT @alonso_dm: Da miedo.</t>
  </si>
  <si>
    <t>https://twitter.com/alonso_dm/status/1062466892298891264</t>
  </si>
  <si>
    <t>pic.twitter.com/pjmMRsr1iw</t>
  </si>
  <si>
    <t>Charming</t>
  </si>
  <si>
    <t>Mortifago, Maestro Pokemon, Lord del Sith, Señor de Invernalia, Lehendakari de Mordor, Witcher. Con Sauron se vivia mejor. Ofendete si quieres, es gratis.</t>
  </si>
  <si>
    <t>Eligio Del Awiizotl</t>
  </si>
  <si>
    <t>Municipio Sal Si Puedes</t>
  </si>
  <si>
    <t>Eligio Del Awiizotl pa' servirle aste'... No leanque' le cueste más trabajo... #KeepAShow! #JuntosHaremosHistoria #YoPrefieroElLagoSuFaunaYSuFlora ...</t>
  </si>
  <si>
    <t>http://fideiius.blogspot.com</t>
  </si>
  <si>
    <t>Biografía oficial del Excmo. Sr. Pedro Sánchez Pérez-Castejón ....</t>
  </si>
  <si>
    <t>http://bit.ly/2AjFUZE</t>
  </si>
  <si>
    <t>Maria Angeles</t>
  </si>
  <si>
    <t>El Presidente del Gobierno, @sanchezcastejon, ha llegado a La Habana poco antes de las cinco de la tarde (once de la noche en España) en visita oficial a Cuba y el primer viaje de trabajo de un Presidente Español a la isla en 32 años.</t>
  </si>
  <si>
    <t>https://www.europapress.es/nacional/noticia-pedro-sanchez-llega-habana-primera-visita-oficial-cuba-20181122230626.html</t>
  </si>
  <si>
    <t>Roquetas de Mar (ALMERIA)</t>
  </si>
  <si>
    <t>Madre y abuela, apasionada de la lectura, militante Socialista en la Agrupación de Almería 🌹🌹Sector del manipulado y envasado de hortalizas. Leonesa de corazón.</t>
  </si>
  <si>
    <t>🌹 Socialdemócrata 🇪🇺</t>
  </si>
  <si>
    <t>¡Qué gran perfil presidencial adquiere Pedro Sánchez cuando lanza un tuit en inglés! No es un gran político pero con esto da el cante y se parece a Obama, Trudeau o Macron. RT @sanchezcastejon: After my conversation with Theresa May, our positions remain far away. My Government will always defend the interests of Spain. If there are no changes, we will veto Brexit.</t>
  </si>
  <si>
    <t>MAD, Estados Unidos de Europa</t>
  </si>
  <si>
    <t>Frente a la mentira y la demagogia de la política rancia española representada por PP y Podemos, No a #PPodemos. 🇪🇺 PSOE</t>
  </si>
  <si>
    <t>anestesia Total.</t>
  </si>
  <si>
    <t>Ferreras ya no se esconde y ejerce de jefe de prensa de Sánchez, defendiéndole mientras ataca brutalmente al PP sin venir a cuento</t>
  </si>
  <si>
    <t>ESPAÑOL y MADRIDISTA .... no me entiende ni Dios,me vas a entender tu ;que además eres gilipollas.. o gilipollo...No se nos ofenda nadie.</t>
  </si>
  <si>
    <t>chambero🇨🇺</t>
  </si>
  <si>
    <t>El presidente del Gobierno de #España🇪🇸, Pedro Sánchez, llegó a #Cuba🇨🇺 en visita oficial de dos días, durante la cual sostendrá conversaciones con autoridades de la nación caribeña.</t>
  </si>
  <si>
    <t>Chambas, Ciego de Ávila, Cuba.</t>
  </si>
  <si>
    <t>Soy Yaimer Mujica Pérez, un joven periodista cubano que trabaja en Radio Chambas y cree en la construccción de una Cuba más próspera con el esfuerzo de tod@s.</t>
  </si>
  <si>
    <t>Llegó a Cuba el presidente del Gobierno del Reino de España  El presidente del Gobierno del Reino de España, Pedro Sánchez, arribó en la tarde de hoy jueves a La Habana, donde comenzará a cumplir una visita oficial que incluye un encuentro con las máximas…</t>
  </si>
  <si>
    <t>http://www.notinet.icrt.cu/index.php?option=com_content&amp;view=article&amp;id=16064:llego-a-cuba-el-presidente-del-gobierno-del-reino-de-espana-&amp;catid=1:noticias-de-cuba&amp;Itemid=50</t>
  </si>
  <si>
    <t>Pedro Sánchez llega a La Habana para reunirse con el dictador Díaz-Canel</t>
  </si>
  <si>
    <t>https://okdiario.com/espana/2018/11/22/pedro-sanchez-llega-habana-reunirse-dictador-diaz-canel-3382248#.W_c-F-P6eqk.twitter</t>
  </si>
  <si>
    <t>El presidente del gobierno español, Pedro Sánchez, llegó hoy a Cuba para una visita oficial de dos días, la primera en 32 años de un mandatario del país ibérico a la isla caribeña, y se reunirá esta tarde con el presidente cubano, Miguel Díaz-Canel.</t>
  </si>
  <si>
    <t>https://pbs.twimg.com/media/DspO0qXU4AE9vgP.jpg</t>
  </si>
  <si>
    <t>mule</t>
  </si>
  <si>
    <t>Sinceramente, que Pedro Sánchez sea capaz de organizar un conflicto diplomático con Reino Unido por un trocito de tierra como Gibraltar que les cedimos. Los llanitos serán lo que ellos quieran. No se puede tener un doble rasero. Y defender lo contrario con Cataluña y País Vasco.</t>
  </si>
  <si>
    <t>cartagenero,colchonero y creyente del cambio social y político para lograr una sociedad más igualitaria. soñando con ser gestor turístico. CM de @ct_turistica</t>
  </si>
  <si>
    <t>https://pbs.twimg.com/media/DspOAAtU8AAReoZ.jpg</t>
  </si>
  <si>
    <t>Diego de Torres</t>
  </si>
  <si>
    <t>Semana crucial para el #Brexit. Este finde es el Consejo Europeo definitivo sobre el Brexit. El tema de #Gibraltar es el gran asunto pendiente... ...y Pedro Sánchez se larga a Cuba...</t>
  </si>
  <si>
    <t>Hace tiempo estaba indeciso, pero ahora ya no estoy tan seguro. A todo el que te pida, dale (San Lucas, 6:30). Ciudadano.</t>
  </si>
  <si>
    <t>Solange Riera</t>
  </si>
  <si>
    <t>EN CUBA PRESIDENTE DEL GOBIERNO DE ESPAÑA, PEDRO SÁNCHEZ PÉREZ-CASTEJÓN</t>
  </si>
  <si>
    <t>Cuba y Argentina</t>
  </si>
  <si>
    <t>Soy maestra y periodista. Me gusta estar actualizada por mi labor.</t>
  </si>
  <si>
    <t>Eduardo Jorge Prats</t>
  </si>
  <si>
    <t>«Penoso» que Pedro Sánchez, «que viene derrochando energía en exhumar los restos del dictador Franco y en acabar con los vestigios del franquismo», viaje a Cuba «a estrechar las manos, reírse y fotografiarse con los dirigentes de una oprobiosa dictadura».</t>
  </si>
  <si>
    <t>https://www.abc.es/internacional/abci-sanchez-derrocha-energia-exhumar-franco-y-viaja-cuba-para-mano-oprobiosa-dictadura-201811220309_noticia.html</t>
  </si>
  <si>
    <t>Santo Domingo, Dominican Republic</t>
  </si>
  <si>
    <t>Abogado, egresado @pucmm y @thenewschool, profesor Derecho Constitucional y Administrativo, doctorando @UExternado, y columnista @periodicohoy y @acentodiario</t>
  </si>
  <si>
    <t>http://www.jorgeprats.com</t>
  </si>
  <si>
    <t>Gretta Espinosa</t>
  </si>
  <si>
    <t>#RCM dijo:Presidente del Gobierno español, Pedro Sánchez, arribó a La Habana para visita oficial</t>
  </si>
  <si>
    <t>Soy #periodista #cubana, y trabajo en la emisora provincial Radio Ciudad del Mar, en #Cienfuegos, Cuba!!!!!</t>
  </si>
  <si>
    <t>http://islafamosa.wordpress.com</t>
  </si>
  <si>
    <t>Noticias15 segundos</t>
  </si>
  <si>
    <t>Malestar en la bancada socialista por el retraso de Sánchez en rechazar los insultos de ERC: El mensaje que el miércoles envió el presidente del Gobierno, Pedro Sánchez, para condenar el espectáculo de ERC en el Pleno del Congreso no dejó contenta a toda…</t>
  </si>
  <si>
    <t>http://gestyy.com/wX4SUX</t>
  </si>
  <si>
    <t>santo dom republica dominicana</t>
  </si>
  <si>
    <t>https://www.facebook.com/noticias15segundos</t>
  </si>
  <si>
    <t>"En plena campaña de las elecciones andaluzas -esos comicios que se celebrarán el día 2 y que giran fundamentalmente sobre Catalunya- al gobierno de Pedro Sánchez le acaba de estallar el obús de Gibraltar". El editorial de @joseantich</t>
  </si>
  <si>
    <t>http://bit.ly/2FzbQz1</t>
  </si>
  <si>
    <t>Lazaro de Tormes</t>
  </si>
  <si>
    <t>donde las dan  según la Razón #elCascabel22n Carmena expulsa a #laCuadrilla de Iglesias  de su plataforma electoral</t>
  </si>
  <si>
    <t>http://clearfile.blogspot.com.es/2014/02/chumy-chumez-en-serio.html
http://nzzl.us/G6GIcid
https://nzzl.us/bHQBd8d</t>
  </si>
  <si>
    <t>New York</t>
  </si>
  <si>
    <t>#NOlesvotes #VaeO #internautas #anonymous #opfariseo #oWs #15o #occupy #Revolution</t>
  </si>
  <si>
    <t>http://updatedb.webcindario.com</t>
  </si>
  <si>
    <t>AntonioArenasRamírez</t>
  </si>
  <si>
    <t>Ilegalizar la Fundacion Franco o sacar al dictador del Valle de los Caídos, entre los retos que afronta Pedro Sánchez</t>
  </si>
  <si>
    <t>https://www.eldiario.es/sociedad/Memoria-Historica-desbloquear-Pedro-Sanchez_0_778672963.html</t>
  </si>
  <si>
    <t>Villarrobledo</t>
  </si>
  <si>
    <t>MEMORIA HISTÓRICA | Ilegalizar la Fundacion Franco o sacar al dictador del Valle de los Caídos, entre los retos que afronta Pedro Sánchez  vía @eldiarioes</t>
  </si>
  <si>
    <t>https://www.eldiario.es/_2e699b43</t>
  </si>
  <si>
    <t>Nuevarevolucion.es</t>
  </si>
  <si>
    <t>Los sectores socialdemócratas apuestan por la medida de Pedro Sánchez, obligando a los bancos a pagar el impuesto hipotecario. Vuelta al problema: quien pierde al final es el cliente, gana la banca. Por @parenas91 -- @NR_Economia</t>
  </si>
  <si>
    <t>https://nuevarevolucion.es/los-mercados-amigo-los-mercados/</t>
  </si>
  <si>
    <t>Galiza-Madrid-Barcelona</t>
  </si>
  <si>
    <t>Periodismo alternativo. info@nuevarevolucion.es</t>
  </si>
  <si>
    <t>http://www.nuevarevolucion.es</t>
  </si>
  <si>
    <t>Diario La República</t>
  </si>
  <si>
    <t>#VIDEO | Reino Unido lanza fuerte advertencia a España sobre Gibraltar ►</t>
  </si>
  <si>
    <t>http://cort.as/-CLbi</t>
  </si>
  <si>
    <t>https://pbs.twimg.com/media/DspNJ-JUwAA0ECj.jpg</t>
  </si>
  <si>
    <t>Lima, Perú.</t>
  </si>
  <si>
    <t>La República informa a través de Twitter lo que sucede en el Perú y el mundo. También en @Politica_LR @DeportesLR y @LRTendencias</t>
  </si>
  <si>
    <t>http://www.larepublica.pe/</t>
  </si>
  <si>
    <t>Listas otros</t>
  </si>
  <si>
    <t>http://ver.20m.es/fpinu1</t>
  </si>
  <si>
    <t>https://pbs.twimg.com/media/DspM7GGVYAAPzaO.jpg</t>
  </si>
  <si>
    <t>http://listas.20minutos.es/otros/</t>
  </si>
  <si>
    <t>yoanny duardo</t>
  </si>
  <si>
    <t>El presidente del Gobierno de España, Pedro Sánchez, llegó a #Cuba en visita oficial de 2 días, durante la cual sostendrá conversaciones con autoridades. A su arribo al aeropuerto internacional José Martí fue recibido por el vicecanciller Rogelio Sierra. @radiorelojcuba</t>
  </si>
  <si>
    <t>https://pbs.twimg.com/media/DspM1z4VsAA3-pr.jpg</t>
  </si>
  <si>
    <t>Periodista #Cuba @radiorelojcuba, el canal de información continua más antiguo del mundo.</t>
  </si>
  <si>
    <t>m.castell</t>
  </si>
  <si>
    <t>Pedro Sánchez comunica a Juncker y Tusk que no aceptará el acuerdo del Brexit si no hay cambios sobre Gibraltar</t>
  </si>
  <si>
    <t>https://www.google.es/amp/s/m.eldiario.es/internacional/Bruselas-prefiere-Brexit-Gibraltar-declaracion_0_837816616.amp.html</t>
  </si>
  <si>
    <t>Especialista en Medicina Interna.</t>
  </si>
  <si>
    <t>pedro</t>
  </si>
  <si>
    <t>Que tendrán los HDP cubanos? Ah, me imagino q serán los hoteles de empresas Españolas por lo q Pedro Sánchez va a jalarle bolas.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</si>
  <si>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abogado de la UCV. Lic educación ucv</t>
  </si>
  <si>
    <t>🇩️🇺️🇶️🇺️🇪️🇻️🇦</t>
  </si>
  <si>
    <t>https://ift.tt/2DT5WHG</t>
  </si>
  <si>
    <t>somos revolución</t>
  </si>
  <si>
    <t>pep alava</t>
  </si>
  <si>
    <t>Vitoria-Alava-Pais Vasco-Spain</t>
  </si>
  <si>
    <t>cristian pacheco</t>
  </si>
  <si>
    <t>_Rivera pedro sanchez no tiene vergüenza esta copiando a zapatero en Venezuela con nuestro dinero ya no tendrá que hacer crowfundin cuando no este en Moncloa le financiara el dictador Raúl castro a ese dictador si le abraza y habla bien a nuestro caudillo muerto le ataca</t>
  </si>
  <si>
    <t>Rafa VG</t>
  </si>
  <si>
    <t>Pedro Sánchez se está cargando el mercado del automóvil al pretender que nos movamos con coches eléctricos, tan disparatado como inviable. Los eléctricos, tienen autonomía limitada y se tarda unos 20 minutos en recargar. Mientras el, se mueve usando keroseno en el Falcon. WTF</t>
  </si>
  <si>
    <t>Madrid, Spain 🇪🇸 Jugué 25 años ⚽️ Si lo que dices no le molesta a nadie, es que no has dicho absolutamente nada.</t>
  </si>
  <si>
    <t>NPI</t>
  </si>
  <si>
    <t>«La chulería de Rufián es la hipoteca de Pedro Sánchez»</t>
  </si>
  <si>
    <t>http://abcblogs.abc.es/angel-exposito/public/post/la-chuleria-de-rufian-es-la-hipoteca-de-pedro-sanchez-17471.asp/#.W_c6bAIF5bw.twitter</t>
  </si>
  <si>
    <t>Amat Victoria Curam/Animus iocandi /Mentally resilient RT_not endorsement</t>
  </si>
  <si>
    <t>Cristóbal Delatorre</t>
  </si>
  <si>
    <t>http://dlvr.it/QrtrYb</t>
  </si>
  <si>
    <t>https://pbs.twimg.com/media/DspLuiBU0AUVr-K.jpg</t>
  </si>
  <si>
    <t>Soy Republicano y de Podemos ✊ 💜. Soy alérgico al PP-Cs-Psoe.</t>
  </si>
  <si>
    <t>Providence RI</t>
  </si>
  <si>
    <t>La bomba atómica de Pedro Sánchez: puede disolver el Senado: La Constitución permite que el Presidente del Gobierno disuelva una sola de las cámaras, un gesto que no tiene precedentes. copyright © 2018</t>
  </si>
  <si>
    <t>http://dlvr.it/QrtrXF</t>
  </si>
  <si>
    <t>https://pbs.twimg.com/media/DspLuY0UUAIEKWY.jpg</t>
  </si>
  <si>
    <t>Providence, RI</t>
  </si>
  <si>
    <t>Psychic Readings in Providence Rhode Island 02901 call (888) 908-4937 https://www.facebook.com/Psychic-Readings-in-Rhode-Island-1679036399055014/ https://es-la.facebook.com/Psychic-Readings-in-Rhode-Island-1679036399055014/ https://m.facebook.com/Psychic-Readings-in-Rhode-Island-1679036399055014/</t>
  </si>
  <si>
    <t>https://www.facebook.com/Psychic-Readings-in-Rhode-Island-1679036399055014/</t>
  </si>
  <si>
    <t>María José Montero</t>
  </si>
  <si>
    <t>Ya están en Cuba Pedro Sánchez y su señora. Le descontarán del sueldo a Begoña todos los días que falta al trabajo? Se ocupa de algo relacionado con África que es para lo que la contrataron?</t>
  </si>
  <si>
    <t>Soy especial porque soy española y ole🇪🇸🇪🇸🇪🇸</t>
  </si>
  <si>
    <t>https://noticiasvenezuela.org/microsoft-y-oracle-anuncian-acuerdo-para-compartir-plataformas-de-software-2/</t>
  </si>
  <si>
    <t>https://pbs.twimg.com/media/DspLsW4UcAU9s-a.jpg</t>
  </si>
  <si>
    <t>Republica Catalana</t>
  </si>
  <si>
    <t>cubaenmiami.com</t>
  </si>
  <si>
    <t>Noticias actualizadas de Cuba y de los cubanos! Todo sobre Cuba y los cubanos</t>
  </si>
  <si>
    <t>http://www.cubaenmiami.com</t>
  </si>
  <si>
    <t>AL DIA Y A LA HORA</t>
  </si>
  <si>
    <t>https://www.noticiasaldiayalahora.co/internacionales/pedro-sanchez-jefe-del-gobierno-espanol-inicia-su-primera-visita-a-cuba/</t>
  </si>
  <si>
    <t>https://www.facebook.com/Notidiahora/ https://www.instagram.com/notidiahora_oficial/</t>
  </si>
  <si>
    <t>https://www.noticiasaldiayalahora.co</t>
  </si>
  <si>
    <t>Brioche</t>
  </si>
  <si>
    <t>Los susistas y los auristas pactando contra Pedro Sanchez</t>
  </si>
  <si>
    <t>CONTACTO: brioenfurecida@gmail.com FACEBOOK, INSTAGRAM Y SNAPCHAT: brioenfurecida</t>
  </si>
  <si>
    <t>Reportes de CAmérica</t>
  </si>
  <si>
    <t>#PA Sánchez llega a Cuba para su visita oficial y hoy se reunirá con Díaz-Canel. El presidente del Gobierno español, Pedro Sánchez, llegó hoy a Cuba en una visita oficial de dos días que es la primera en 32 años a la isla de un jefe del Ejec...</t>
  </si>
  <si>
    <t>http://tinyurl.com/y7v4ldtz</t>
  </si>
  <si>
    <t>https://pbs.twimg.com/media/DspLOv3WwAEwSZQ.jpg</t>
  </si>
  <si>
    <t>Central America</t>
  </si>
  <si>
    <t>Reportando información desde Centro América. Menciona @ReportoCA o #ReportoCA en tu Tweet y citaremos tu Reporte.</t>
  </si>
  <si>
    <t>https://goo.gl/EjV4ph</t>
  </si>
  <si>
    <t>Presidente del Gobierno español arribó a Cuba para iniciar visita oficial El presidente del Gobierno de España, Pedro Sánchez, llegó hoy a Cuba en visita oficial de dos días, durante la cual sostendrá conversaciones con autoridades de la nación caribeña.…</t>
  </si>
  <si>
    <t>https://ift.tt/2DDFdxD</t>
  </si>
  <si>
    <t>Òscar Peris 🎗</t>
  </si>
  <si>
    <t>📌 Spain: Open Letter: End the arbitrary pre-trial detention of social leader Mr. Jordi Cuixart To: Mr. Pedro Sánchez Castejón President of the Government of Spain Ms. Ma. José Segarra Spanish Attorney General Mr. F. Fernández Marugán Spanish Ombudsman</t>
  </si>
  <si>
    <t>http://www.omct.org/monitoring-protection-mechanisms/urgent-interventions/spain/2018/11/d25127/</t>
  </si>
  <si>
    <t>Abans que independentistes som demòcrates i abans que demòcrates som bona gent i ens estimem la gent.</t>
  </si>
  <si>
    <t>http://delegacionscatalunya.gencat.cat/ca/delegacions/tarragona/salutacio/</t>
  </si>
  <si>
    <t>Juan Carlos Avila</t>
  </si>
  <si>
    <t>Pedro Sánchez Castejón: Paso a Nivel Provisional mientras duren las obras del SOTERRAMIENTO en Santiago el Mayor - ¡Firma la petición!  vía @change_es (NO A LA PASARELA EN MEDIO DE MURCIA)</t>
  </si>
  <si>
    <t>http://chng.it/8JhgJZyN</t>
  </si>
  <si>
    <t>Emprendedor freelance on line desde 1996. Valorando e investigando programas de afiliados en español, para hispanos que generan ingresos de dinero on line. TpT</t>
  </si>
  <si>
    <t>http://www.trabajoparatodos.es</t>
  </si>
  <si>
    <t>COLPISA</t>
  </si>
  <si>
    <t>El viaje de Pedro Sánchez a Cuba otorga oxígeno diplomático a Díaz-Canel (Por @PauladeLasHeras)  vía @lariojacom</t>
  </si>
  <si>
    <t>https://www.larioja.com/nacional/viaje-pedro-sanchez-cuba-20181123211321-ntrc.html</t>
  </si>
  <si>
    <t>Agencia de #noticias. Redacción Central de los Regionales de @Vocento. Nuestros periodistas en https://twitter.com/colpisanoticias/lists/periodistascolpisa</t>
  </si>
  <si>
    <t>http://www.colpisa.com</t>
  </si>
  <si>
    <t>Azaña Cabreado</t>
  </si>
  <si>
    <t>Ya está Pedro Sánchez otra vez cambiando de opinión. 🤭 En fin: lástima que algunos se hayan convertido en todo aquello que decían querer combatir.</t>
  </si>
  <si>
    <t>https://pbs.twimg.com/media/DspJ6uJUcAEwQtg.jpg</t>
  </si>
  <si>
    <t>Fui Presidente de la Segunda República Española. Liberal de izquierdas, burgués, y republicano español.</t>
  </si>
  <si>
    <t>Lισя ѕєcєѕ-ѕισηιѕтα</t>
  </si>
  <si>
    <t>Marlaska desvela que Pedro Sánchez le pidió ser candidato a la alcaldía de Madrid antes de la moción de censura  via @eldiarioes</t>
  </si>
  <si>
    <t>https://www.eldiario.es/_31d55cf9</t>
  </si>
  <si>
    <t>🎗️Contemplatiu | Patriotisme serè, orgullós i cívic ho és el nostre 🇮🇱</t>
  </si>
  <si>
    <t>#RadioTaino #Cuba 🇨🇺️ El presidente del Gobierno del Reino de #España🇪🇦️, Pedro Sánchez, arribó en la tarde de hoy a La Habana, como parte de su visita oficial que incluye un encuentro con las máximas autoridades gubernamentales cubanas.</t>
  </si>
  <si>
    <t>https://www.facebook.com/RadioTaino/posts/2050219288389181</t>
  </si>
  <si>
    <t>Maquinas Empacadoras</t>
  </si>
  <si>
    <t>Pedro Sánchez tras hablar con Theresa May sobre Gibraltar: "Si no hay cambios, vetaremos el Brexit"...</t>
  </si>
  <si>
    <t>https://pbs.twimg.com/media/DspJB8IUcAAXKZZ.jpg</t>
  </si>
  <si>
    <t>amparameque</t>
  </si>
  <si>
    <t>El derecho y el deber, son como palmeras: no dan fruto si no crecen uno al lado del otro.</t>
  </si>
  <si>
    <t>Victor Zuñiga Zamora</t>
  </si>
  <si>
    <t>https://www.lapatilla.com/2018/11/22/pedro-sanchez-jefe-del-gobierno-espanol-inicia-su-primera-visita-a-cuba/</t>
  </si>
  <si>
    <t>felizmente casado, dos hijos maravillosos, siempre por la derecha. no a los extremos ni a los ultras utopicos ,no a la prensa amarilla.</t>
  </si>
  <si>
    <t>http://page.is/victorzuigazamo</t>
  </si>
  <si>
    <t>juan antonio nicolay</t>
  </si>
  <si>
    <t>Pedro SánCHEz. Ya en Cuba. Visita histórica. 32 años después. @sanchezcastejon en la Plaza de la Revolución.</t>
  </si>
  <si>
    <t>https://pbs.twimg.com/media/DspHfuNV4AEZ4l6.jpg</t>
  </si>
  <si>
    <t>Soy periodista. O algo. Trabajo en Noticias Cuatro. Me dedico a contar las cosas de la política, tal como yo las veo.</t>
  </si>
  <si>
    <t>spaintominute</t>
  </si>
  <si>
    <t>http://dlvr.it/Qrtpfj</t>
  </si>
  <si>
    <t>https://pbs.twimg.com/media/DspISOoUcAE3AO8.jpg</t>
  </si>
  <si>
    <t>Recopilación de noticias de ultima hora, tanto de ámbito nacional como internacional, sucesos, deportes, etc.</t>
  </si>
  <si>
    <t>https://pbs.twimg.com/media/DspILRxW0AAFSKK.jpg</t>
  </si>
  <si>
    <t>https://noticiasvenezuela.org/2018/11/22/pedro-sanchez-jefe-del-gobierno-espanol-inicia-su-primera-visita-a-cuba/</t>
  </si>
  <si>
    <t>https://pbs.twimg.com/media/DspHop7U0AIlTAc.jpg</t>
  </si>
  <si>
    <t>https://pbs.twimg.com/media/DspHmTWU8AAj9JU.jpg</t>
  </si>
  <si>
    <t>Poder Latino en Catalunya 🇪🇸</t>
  </si>
  <si>
    <t>El izquierdista va con su séquito de empresas para enchufarles a los cubanos. Los negocios son negocios...</t>
  </si>
  <si>
    <t>https://www.elconfidencial.com/espana/2018-11-22/telefonica-iberia-air-europa-ceo-empresas-pedro-sanchez-cuba_1663690/</t>
  </si>
  <si>
    <t>Latino, Catalán y Español. Construyendo representación propia de la comunidad latina en los poderes en Catalunya y España. No somos opción, somos prioridad</t>
  </si>
  <si>
    <t>EspañaActual</t>
  </si>
  <si>
    <t>Pedro Sánchez insiste en la oposición de España sobre Gibraltar: "Si no hay cambios, vetaremos ...</t>
  </si>
  <si>
    <t>https://www.20minutos.es/noticia/3499204/0/pedro-sanchez-espana-gibraltar-si-no-hay-cambios-vetaremos-brexit/</t>
  </si>
  <si>
    <t>Noticias de actualidad en España, última hora y reportajes.</t>
  </si>
  <si>
    <t>https://ift.tt/2PPp4MU</t>
  </si>
  <si>
    <t>AveriadosAve</t>
  </si>
  <si>
    <t>Este miente más que Pedro Sánchez. Mientras siga siendo el marqués de Galapagar no deja el sillón ni con agua caliente. RT @republicano1945: Iglesias vincula su futuro político al resultado electoral en 2020 @lavanguardia</t>
  </si>
  <si>
    <t>https://twitter.com/republicano1945/status/1065740929242406913
http://shr.gs/AOZp7eD</t>
  </si>
  <si>
    <t>Hasta las narices de las mentiras y el postureo de la izquierda.</t>
  </si>
  <si>
    <t>Lola Fdez Ugarte</t>
  </si>
  <si>
    <t>Pedro Sanchez @sanchezcastejon, el gran defensor de lo público, se sacó la carrera en un centro PRIVADO, en Real Centro Univer María Cristina de El Escorial, pagando un pastón por estudiar, al igual que su master en la Camilo José Cela, también privada, 💰, empezanos a entender?</t>
  </si>
  <si>
    <t>Aborrezco todos los 'ismos': comunismo, fascismo, nacionalismo, socialismo... En definitiva, todo lo que lleva el germen del totalitarismo. -Dime quién soy- JN</t>
  </si>
  <si>
    <t>ninoskacuervo</t>
  </si>
  <si>
    <t>Las Damas de Blanco piden a Pedro Sánchez que se reúna con la oposición durante su viaje a Cuba  vía @ABC_Mundo SANCHEZ LAS IGNORA</t>
  </si>
  <si>
    <t>En algún lugar del mundo</t>
  </si>
  <si>
    <t>Psicóloga y Música:(cantante, cuatrista y prof.d flamenco) Casada.Ex-Agda Cultural de Venezuela en Alemania.Ex-Locutora en espanol d Deutsche Welle</t>
  </si>
  <si>
    <t>PSEUDOPERIODISTA DEL PSOE Y SECTARIO!! Ferreras ya no se esconde y ejerce de jefe de prensa de Sánchez, defendiéndole mientras ataca brutalmente al PP sin venir a cuento | Periodista Digital</t>
  </si>
  <si>
    <t>Hispano</t>
  </si>
  <si>
    <t>Pedro Sánchez @sanchezcastejon llega hoy a #Cuba ,le recuerdo que en mi país NO HAY DEMOCRACIA RT @FelixLlerenaCUB: Pedro Sánchez @sanchezcastejon llega hoy a #Cuba ,le recuerdo que en mi país NO HAY DEMOCRACIA, que en mi país existe un PARTIDO ÚNICO que CRIMINALIZA a quien no se someta a sus órdenes, que existen PRESOS POLÍTICOS, que se violan DERECHOS elementales. No se olvide de esto!!</t>
  </si>
  <si>
    <t>Madrí - España</t>
  </si>
  <si>
    <t>Hispano. La conciencia del grillo. Honor: Cualidad moral que lleva al cumplimiento de los propios deberes respecto del prójimo y de uno mismo.</t>
  </si>
  <si>
    <t>Qmunty</t>
  </si>
  <si>
    <t>Pedro Sánchez, firme con Gibraltar: "Si no hay cambios, vetaremos el Brexit"</t>
  </si>
  <si>
    <t>http://j.mp/2KqabLb</t>
  </si>
  <si>
    <t>Zürich</t>
  </si>
  <si>
    <t>Eram quod es, eris quod sum</t>
  </si>
  <si>
    <t>http://net.quantitas.com/help/contact</t>
  </si>
  <si>
    <t>JUAN ANDRES BUEDO</t>
  </si>
  <si>
    <t>Constatar Antonio Casado que la marcha del país depende de independentistas catalanes y populistas de Podemos....</t>
  </si>
  <si>
    <t>https://blogs.elconfidencial.com/espana/al-grano/2018-10-22/pedro-sanchez-gobierno-podemos_1633627/?utm_source=facebook&amp;utm_medium=social&amp;utm_campaign=BotoneraWeb</t>
  </si>
  <si>
    <t>Ideólogo, geográfo, comunicador, funcionario y profesor sexagenario, ya jubilado.</t>
  </si>
  <si>
    <t>http://jabuedo.typepad.com/aires_de_la_parra</t>
  </si>
  <si>
    <t>Trader Surf CursoGratis</t>
  </si>
  <si>
    <t>Los Mercados</t>
  </si>
  <si>
    <t>Twitter Oficial de - http://www.instagram.com/tradersurf 📚 CURSO DE BOLSA Y ANÁLISIS TÉCNICO!!!! En la web lo tienes Gratis!! Te regalo 1€ mira el Tuit Fijado</t>
  </si>
  <si>
    <t>http://forexpatrones.blogspot.com/2018/07/curso-autodidacta-de-bolsa-e-inversion.html</t>
  </si>
  <si>
    <t>Cristobal Gil Quiros</t>
  </si>
  <si>
    <t>Pedro Sánchez exige a Rufián y a Casado que pidan disculpas por sus insultos en el Parlamento</t>
  </si>
  <si>
    <t>https://www.europapress.es/nacional/noticia-pedro-sanchez-exige-rufian-casado-pidan-disculpas-insultos-parlamento-20181121213453.html</t>
  </si>
  <si>
    <t>Jerez de la Frontera, España</t>
  </si>
  <si>
    <t>Alcanzada la edad adulta aspiro a ser observador activo y critico con lo que me rodea, lo hermoso conservarlo -transmitirlo,lo injusto sin prepotencia cambiarlo</t>
  </si>
  <si>
    <t>HogarClub</t>
  </si>
  <si>
    <t>Visita Cuba el presidente del Gobierno español, Pedro Sánchez.Más información aquí ►</t>
  </si>
  <si>
    <t>http://ow.ly/PKDf30mIHtq</t>
  </si>
  <si>
    <t>https://pbs.twimg.com/media/DspFhX1X4AASuTZ.jpg</t>
  </si>
  <si>
    <t>Cadena Azul 1550 AM</t>
  </si>
  <si>
    <t>https://pbs.twimg.com/media/DspFcZCU8AAmH8P.jpg</t>
  </si>
  <si>
    <t>WRHC Cadena Azul 1550 AM de Miami que mantiene una creciente y fiel audiencia amante de la música y las canciones de ayer, de hoy y de siempre.</t>
  </si>
  <si>
    <t>http://www.cadenaazul.com</t>
  </si>
  <si>
    <t>Wolfang O</t>
  </si>
  <si>
    <t>EPA Camarada @sanchezcastejon tan ARRECHITO q te la das con dictadores muertos, como Franco en #España, pero eres un ROLO de Gallina con los Dictadores vivos como Raul Castro en #Cuba... PAYASO e' Mierda!</t>
  </si>
  <si>
    <t>El secreto de mi éxito está en pagar como si fuera pródigo y en vender como si estuviera en quiebra.</t>
  </si>
  <si>
    <t>Sofia Peña</t>
  </si>
  <si>
    <t>Pedro Sánchez crece 3 tallas de chaqueta al hincharse de placer diciendo que vetará el Brexit de Theresa May. ☁️☁️☁️ RT @sanchezcastejon: Tras mi conversación con Theresa May, nuestras posiciones permanecen lejanas. Mi Gobierno siempre defenderá los intereses de España. Si no hay cambios, vetaremos el Brexit.</t>
  </si>
  <si>
    <t>My official, unofficial, sofficial Twitter profile.</t>
  </si>
  <si>
    <t>http://karikakos.blogspot.com/</t>
  </si>
  <si>
    <t>OKDIARIO</t>
  </si>
  <si>
    <t>Pedro Sánchez asegura que ha hablado con Theresa May y “si no hay cambios vetaremos el Brexit”</t>
  </si>
  <si>
    <t>https://okdiario.com/espana/2018/11/22/pedro-sanchez-asegura-que-hablado-theresa-may-si-no-hay-cambios-vetaremos-brexit-3382282?utm_term=Autofeed&amp;utm_campaign=ok&amp;utm_medium=Social&amp;utm_source=Twitter#Echobox=1542927257</t>
  </si>
  <si>
    <t>El sitio de los inconformistas. Dirigido por @eduardoinda. Síguenos en Facebook: http://facebook.com/okdiario.</t>
  </si>
  <si>
    <t>http://okdiario.com/</t>
  </si>
  <si>
    <t>Noticias24mx</t>
  </si>
  <si>
    <t>https://noticias24mx.com/pedro-sanchez-jefe-del-gobierno-espanol-inicia-su-primera-visita-a-cuba/</t>
  </si>
  <si>
    <t>https://pbs.twimg.com/media/DspE_2KVYAABp6r.jpg</t>
  </si>
  <si>
    <t>WWFE La Poderosa</t>
  </si>
  <si>
    <t>https://pbs.twimg.com/media/DspE-D8UwAA_gao.jpg</t>
  </si>
  <si>
    <t>La Poderosa 670 AM de Miami, FL. Llegando hasta donde otros no llegan, al corazon del pueblo! Para escucharnos fuera de USA llama al 1-213-493-0226</t>
  </si>
  <si>
    <t>http://www.lapoderosa.com</t>
  </si>
  <si>
    <t>Pedro Sánchez llega al palacio presidencial para entrevistarse con el prrsidente de Cuba, Díaz-Canel!</t>
  </si>
  <si>
    <t>https://pbs.twimg.com/media/DspEzYUVsAAz0NV.jpg</t>
  </si>
  <si>
    <t>Andrés Zurco Saldaña</t>
  </si>
  <si>
    <t>Pedro Sánchez que hace poco exigió rectificar a Pablo Casado y anunció públicamente que rompía relaciones con él por llamarle "golpista", trata ahora de minimizar los exabruptos y el gesto despreciable hacia su ministro de Exteriores.  vía @elespanolcom</t>
  </si>
  <si>
    <t>https://www.elespanol.com/opinion/editoriales/20181122/presidente-no-da/355104488_14.html</t>
  </si>
  <si>
    <t>Pre-Jubilado, viviendo solo en Barcelona (España), amigo de la amistad, amante del amor</t>
  </si>
  <si>
    <t>Plaga</t>
  </si>
  <si>
    <t>-Te odio, te desprecio. -Mucho? -Como el PSOE odia a Borrell, como Rufián trabajar o como Pedro Sánchez a decir la verdad.</t>
  </si>
  <si>
    <t>Twitter me fumigó por romper las reglas de Soros y la socialdemocracia. Pero he mutado.</t>
  </si>
  <si>
    <t>https://gunow.vcoud.com/post/Pedro-Sanchez-jefe-del-gobierno-espanol-inicia-su-primera-visita-a-Cuba-La-Patilla</t>
  </si>
  <si>
    <t>Noticias las 24 Horas de las mejores fuentes. Descarga nuestra App Gratis! https://goo.gl/YmsCqd</t>
  </si>
  <si>
    <t>https://goo.gl/YmsCqd</t>
  </si>
  <si>
    <t>Fran</t>
  </si>
  <si>
    <t>http://www.citizengo.org/hazteoir/166670-no-expolie-por-segunda-vez-archivo-salamanca?tc=tw&amp;tcid=52310447</t>
  </si>
  <si>
    <t>https://pbs.twimg.com/media/DspEbuQUcAAZsQS.jpg</t>
  </si>
  <si>
    <t>MissKilauea</t>
  </si>
  <si>
    <t>Hacedle un favor al mundo y no os pongáis a corregirle lo que escribe en inglés Pedro Sánchez porque hay gente que da mucha vergüenza ajena. Con la de cosas que hay por las que meterse con él, el personal elige algo que hace bastante bien. Es muy ridículo todo.</t>
  </si>
  <si>
    <t>Si no estoy yo a ver quién le contesta lo de Diocito al Trasto, ¿eh, eh?</t>
  </si>
  <si>
    <t>el gato escaldado</t>
  </si>
  <si>
    <t>PEDRO SÁNCHEZ CUIDANDO DE SUS SOCIOS DE GOBIERNO. RT @Interneitor: Muy valiente o muy estúpido, que opinan? 🤨🤨</t>
  </si>
  <si>
    <t>https://twitter.com/Interneitor/status/1065734210651066368</t>
  </si>
  <si>
    <t>pic.twitter.com/DqgfFmOrlN</t>
  </si>
  <si>
    <t>Madrid, España🇪🇸🇪🇸</t>
  </si>
  <si>
    <t>soy diestro,y la izquierda no me sirve para nada,la mano tampoco. hago poesía a la hora crítica.</t>
  </si>
  <si>
    <t>GUILLERMO ORDÁS</t>
  </si>
  <si>
    <t>Cuánta hipocresía... A Ciudadanos y al Partido Popular no les importa absolutamente nada el señor Borrell, pero están aprovechando esta polémica para atacar a Pedro Sánchez y a ERC.</t>
  </si>
  <si>
    <t>https://pbs.twimg.com/media/DspECXmU0AE3Wc4.jpg</t>
  </si>
  <si>
    <t>Republicano, ateo, demócrata, animalista, de izquierdas, antifascista... Diplomado en Relaciones Laborales. LAS VÍCTIMAS DE HOY SERÁN LOS VERDUGOS DEL MAÑANA!</t>
  </si>
  <si>
    <t>Bogotá, Colombia</t>
  </si>
  <si>
    <t>https://pbs.twimg.com/media/DspD0LFU0AAfo8m.jpg</t>
  </si>
  <si>
    <t>JOSE MANUEL</t>
  </si>
  <si>
    <t>Si Pedro Sanchez tuviera dignidad se lanzaría de un puente con una soga al cuello. Como no la tiene alguien lo tendrá que hacer por él. RT @WillyTolerdoo: El problema de Borrell es que su partido ha llegado al poder gracias al voto de la gentuza que le escupe. Si tuviera algo de dignidad Pedro Sánchez convocaría elecciones hoy mismo y prometería que nunca más volverá a aliarse con los escombros separatistas. Pero no lo hará.</t>
  </si>
  <si>
    <t>https://twitter.com/WillyTolerdoo/status/1065197525832015873</t>
  </si>
  <si>
    <t>VALENCIA</t>
  </si>
  <si>
    <t>Exlegionario reconvertido en electricista y padre</t>
  </si>
  <si>
    <t>https://pbs.twimg.com/media/DspDv_VVsAAj-Pa.jpg</t>
  </si>
  <si>
    <t>Pedro Sánchez tras hablar con Theresa May sobre Gibraltar: "Si no hay cambios, vetaremos el #Brexit"...</t>
  </si>
  <si>
    <t>http://isb.gs/OUKvqE</t>
  </si>
  <si>
    <t>https://pbs.twimg.com/media/DspDtMjWwAEucYE.jpg</t>
  </si>
  <si>
    <t>Valandil de Andúnië/ Miss Liberty</t>
  </si>
  <si>
    <t>Hay que dejarlo claro, si Pedro Sánchez ha sacado la cuestión de Gibraltar, no es por convencimiento, sino por la proximidad de las elecciones andaluzas. Parece que las encuestas son peores de lo que parece.</t>
  </si>
  <si>
    <t>Andúnie,  Númenor</t>
  </si>
  <si>
    <t>PALEOLIBERTARIO. Veritas vos liberabit Juan 8:32🇪🇸🇺🇸🇭🇺🇵🇱🇷🇸</t>
  </si>
  <si>
    <t>Luis Gala</t>
  </si>
  <si>
    <t>Aquí en #España Pedro Sánchez quiere exhumar a Franco (un dictador que lleva 43 años muerto). Sin embargo "no le duelen prendas" para ir a #Cuba (que es a dia de hoy una dictadura) y entrevistarse con el presidente de esta. Por cierto, NO habrá ningun contacto con la disidencia..</t>
  </si>
  <si>
    <t xml:space="preserve">De #Madrid, al cielo. #España </t>
  </si>
  <si>
    <t>Solo sé, que no sé nada. Prefiero ser odiado por lo que soy, que amado por lo que no soy.</t>
  </si>
  <si>
    <t>El Diestro #ED👍🇪🇸</t>
  </si>
  <si>
    <t>Alfonso Ussía realiza un certero estudio psiquiátrico de la vanidosa personalidad de Pedro Sánchez</t>
  </si>
  <si>
    <t>https://www.eldiestro.es/2018/11/alfonso-ussia-realiza-un-certero-estudio-psiquiatrico-de-la-vanidosa-personalidad-de-pedro-sanchez/</t>
  </si>
  <si>
    <t>El diario referente de la derecha española, editado por la sociedad civil</t>
  </si>
  <si>
    <t>http://www.eldiestro.es</t>
  </si>
  <si>
    <t>Defenem Valencia</t>
  </si>
  <si>
    <t>😵😵😵😵😵😱😱😱😱 Ha este se le fue la ¡¡PINZA!!</t>
  </si>
  <si>
    <t>https://bit.ly/2R3veFE</t>
  </si>
  <si>
    <t>http://www.defenemvalencia.es</t>
  </si>
  <si>
    <t>Ramón de Veciana Batlle</t>
  </si>
  <si>
    <t>Así atacaba el joven Pedro Sánchez a 'El Mundo' y el juez Garzón por destapar los crímenes del GAL</t>
  </si>
  <si>
    <t>https://okdiario.com/espana/2018/11/09/asi-atacaba-joven-pedro-sanchez-mundo-juez-garzon-destapar-crimenes-del-gal-3330784#.W_cxhoPkqAI.twitter</t>
  </si>
  <si>
    <t>Abogado. En Abogados catalanes por la Constitución @acatxconst</t>
  </si>
  <si>
    <t>Marta Ferrero</t>
  </si>
  <si>
    <t>https://pbs.twimg.com/media/DspC7FPUcAAPzYC.jpg</t>
  </si>
  <si>
    <t>ConsuladoCubaCanaria</t>
  </si>
  <si>
    <t>Biografía oficial del Excmo. Sr. Pedro Sánchez Pérez-Castejón, presidente del Gobierno del Reino de España  Via @Granma_Digital</t>
  </si>
  <si>
    <t>Las Palmas, Islas Canarias</t>
  </si>
  <si>
    <t>Ese pequeño espacio donde todo Cubano se siente en Cuba. SON TIEMPOS DE UNIRNOS.</t>
  </si>
  <si>
    <t>http://misiones.minrex.gob.cu/es/espana/consulado-general-de-cuba-en-islas-canarias</t>
  </si>
  <si>
    <t>El asunto de Gibraltar en punto crítico y Pedro Sánchez en Cuba💃</t>
  </si>
  <si>
    <t>Humberto Herrera C.</t>
  </si>
  <si>
    <t>CUBA A DIARIO . Por Humberto Herrera Carlés : Biografía oficial del Excmo. Sr. Pedro Sánchez Pér...</t>
  </si>
  <si>
    <t>https://cubaadiario.blogspot.com/2018/11/biografia-oficial-del-excmo-sr-pedro.html?spref=tw</t>
  </si>
  <si>
    <t>Habana- Mexico</t>
  </si>
  <si>
    <t>http://cubaadiario.blogspot.com/</t>
  </si>
  <si>
    <t>http://www.citizengo.org/hazteoir/166670-no-expolie-por-segunda-vez-archivo-salamanca?tc=tw&amp;tcid=52310378</t>
  </si>
  <si>
    <t>Antonio Centellas</t>
  </si>
  <si>
    <t>Si Pedro Sánchez viniese a Córdoba a dar un mitin , el aeropuerto tendría Carta Instrumental ya.</t>
  </si>
  <si>
    <t>Cordoba</t>
  </si>
  <si>
    <t>Enamorado de Cordoba ,el Cordoba C.F. y mi familia</t>
  </si>
  <si>
    <t>Frioacero</t>
  </si>
  <si>
    <t>Ya lo dijo Luís XIV: "El estado soy yo, Pedro Sánchez".</t>
  </si>
  <si>
    <t>cinthya yañez</t>
  </si>
  <si>
    <t>Pedro Sánchez no verá a la oposición cubana para no desairar al castrismo en su viaje a la isla  vía @elmundoes</t>
  </si>
  <si>
    <t>Bolivia</t>
  </si>
  <si>
    <t>H2O</t>
  </si>
  <si>
    <t>Pedro Sánchez tras hablar con Theresa May sobre Gibraltar: "Si no ....</t>
  </si>
  <si>
    <t>http://bit.ly/2PKuitn</t>
  </si>
  <si>
    <t>https://okdiario.com/espana/2018/11/22/pedro-sanchez-llega-habana-reunirse-dictador-diaz-canel-3382248?utm_term=Autofeed&amp;utm_campaign=ok&amp;utm_medium=Social&amp;utm_source=Twitter#Echobox=1542926392</t>
  </si>
  <si>
    <t>La noche en 24 horas</t>
  </si>
  <si>
    <t>Pedro Sánchez ya ha aterrizado en La Habana. Conectamos con nuestra enviada especial, María Rodríguez.  #LaNoche24h</t>
  </si>
  <si>
    <t>https://pbs.twimg.com/media/DspB0-JUcAAVqmV.jpg</t>
  </si>
  <si>
    <t>La Noche en 24 Horas es un informativo con entrevistas y tertulia. Presentado por @_marcsala. En el Canal @24h_tve y en http://RTVE.es 📱 #LaNoche24h</t>
  </si>
  <si>
    <t>http://www.rtve.es/television/lanocheen24horas/</t>
  </si>
  <si>
    <t>Pedro Sánchez asegura que ha hablado con Theresa May y "si no hay cambios vetaremos el Brexit" -</t>
  </si>
  <si>
    <t>https://noticierouniversal.com/actualidad/pedro-sanchez-asegura-que-ha-hablado-con-theresa-may-y-si-no-hay-cambios-vetaremos-el-brexit/</t>
  </si>
  <si>
    <t>alconperegrino2002</t>
  </si>
  <si>
    <t>El presidente del Gobierno, Pedro Sánchez, considera que las posiciones de España y el Reino Unido en las negociaciones del Brexit correspondientes a Gibraltar permanecen lejanas. Si no hay cambios, vetaremos sin ninguna duda el Brexit el próximo domingo.</t>
  </si>
  <si>
    <t>Jordi Blasi🎗</t>
  </si>
  <si>
    <t>Que diu el Pedro Sánchez que vetarà el Brexit 🤣 RT @sanchezcastejon: After my conversation with Theresa May, our positions remain far away. My Government will always defend the interests of Spain. If there are no changes, we will veto Brexit.</t>
  </si>
  <si>
    <t>http://www.jordiblasi.com</t>
  </si>
  <si>
    <t>Diario Las Américas</t>
  </si>
  <si>
    <t>Pedro Sánchez hace visita oficial a Cuba y hoy se reunirá con Díaz-Canel</t>
  </si>
  <si>
    <t>Florida</t>
  </si>
  <si>
    <t>65 años informando en español desde el sur de la Florida. Un diario digital 💻 con edición impresa 📰</t>
  </si>
  <si>
    <t>http://diariolasamericas.com</t>
  </si>
  <si>
    <t>El Diañu Burlón</t>
  </si>
  <si>
    <t>Susana Díaz suspende su mitin en San Juan (Sevilla) por una protesta violenta de taxistas  Claro, había huelga de taxis. Así se explica la razón por la cual, Pedro Sánchez ha utilizado un jet privado. -Con cargo al erario público, por supuesto.</t>
  </si>
  <si>
    <t>https://www.elmundo.es/andalucia/2018/11/22/5bf70d0d22601df1438b45d8.html</t>
  </si>
  <si>
    <t>🌹El Orden y la Ley. Si nos faltan, estamos perdidos. - Republicano y socialista de corazón y sin carné.</t>
  </si>
  <si>
    <t>Encarnita</t>
  </si>
  <si>
    <t>En @elconfidencial: ERC pide a Pedro Sánchez que aguante, evite elecciones y espere su apoyo no ahora sino en otoño</t>
  </si>
  <si>
    <t>Granadina, jubilada y me encanta la vida!!!</t>
  </si>
  <si>
    <t>Luis Abeledo</t>
  </si>
  <si>
    <t>https://okdiario.com/espana/2018/11/21/sanchez-mando-coche-oficial-vacio-valladolid-hacer-8-kms-del-aeropuerto-ciudad-3377374#.W_cvNu2ZHsQ.twitter</t>
  </si>
  <si>
    <t xml:space="preserve"> Gallego en Tenerife</t>
  </si>
  <si>
    <t>http://www.luisabeledo.es</t>
  </si>
  <si>
    <t>embajador de Cuba en Guinea Ecuatorial</t>
  </si>
  <si>
    <t>El Presidente del Gobierno del Reino de España, Pedro Sánchez, llegó a Cuba como parte de una visita oficial.@CubaMINREX @sanchezcastejon @guineaecuat1968</t>
  </si>
  <si>
    <t>https://pbs.twimg.com/media/DspAofbVsAAkNjk.jpg</t>
  </si>
  <si>
    <t>Pedro S&amp;aacute;nchez tras hablar con Theresa May sobre Gibraltar: "Si no hay cambios, vetaremos el Brexit"</t>
  </si>
  <si>
    <t>http://bitly.com/2zoJLVN</t>
  </si>
  <si>
    <t>https://pbs.twimg.com/media/DspAnV5X4AABhLw.jpg</t>
  </si>
  <si>
    <t>https://pbs.twimg.com/media/DspAQacUUAEdtO-.jpg</t>
  </si>
  <si>
    <t>Julian Alberto Vivar</t>
  </si>
  <si>
    <t>A Juan Marin, candidato de Cs para la Junta de Andaluza, le dan oportunidad en la tele y en vez de hablar de Andalucía, habla de Pedro Sanchez jajaja inaudito y para descojonarse</t>
  </si>
  <si>
    <t>Articulista, cronista político-social</t>
  </si>
  <si>
    <t>Paco Lobo</t>
  </si>
  <si>
    <t>No tendremos techo, libertad, ni trabajo pero, que bien nos lo pasamos. El PP arremete contra Pedro Sánchez, por no recuperar Gibraltar.</t>
  </si>
  <si>
    <t>Marinero libertario con alma de poeta,un pirata bueno,superviviente de los naufragios de la vida y el amor.</t>
  </si>
  <si>
    <t>Fran Vetton</t>
  </si>
  <si>
    <t>Estremaúra, España, Europa, 🌍</t>
  </si>
  <si>
    <t>ROSARIO CASTILLO</t>
  </si>
  <si>
    <t>http://chng.it/ZdJtfpcR</t>
  </si>
  <si>
    <t>Zéjel</t>
  </si>
  <si>
    <t>Nunca me han gustado los eufemismos. Prefiero llamar a las cosas por su nombre. Si alguien se molesta o se ofende por ello, sus motivos tendrá.</t>
  </si>
  <si>
    <t>España acusa a la UE y a May de actuar "con nocturnidad y alevosía" con Gibraltar y Sánchez se reafirma: "Sin cambios, vetaremos el Brexit"  Pedro Sánchez @sanchezcastejon es por méritos propios, el político más desacreditado de la Unión Europea</t>
  </si>
  <si>
    <t>https://www.elmundo.es/internacional/2018/11/22/5bf6f35e22601d07268b4597.html</t>
  </si>
  <si>
    <t>https://pbs.twimg.com/media/Dso_WG_WoAA1o25.jpg</t>
  </si>
  <si>
    <t>Univ. de La Habana</t>
  </si>
  <si>
    <t>#Cuba #España Presidente del Gobierno del Reino de España, Pedro Sánchez llegó a Cuba como parte de una visita oficial @CubaMES @nicado3 RT @mirthaguerramor: El Presidente del Gobierno del Reino de España, Pedro Sánchez llegó a Cuba como parte de una visita oficial.@CubaMINREX @sanchezcastejon @radiorebeldecu</t>
  </si>
  <si>
    <t>https://twitter.com/mirthaguerramor/status/1065732576189534209</t>
  </si>
  <si>
    <t>https://pbs.twimg.com/media/Dso9xTtV4AAScWl.jpg</t>
  </si>
  <si>
    <t>La Universidad de La Habana es referente cultural y de identidad para nuestro país y el mundo.Asume los retos de la educación, la ciencia y la cultura.</t>
  </si>
  <si>
    <t>http://www.uh.cu/</t>
  </si>
  <si>
    <t>Pedro Sánchez llega a La Habana para reunirse con el dictador Díaz-Canel -</t>
  </si>
  <si>
    <t>https://noticierouniversal.com/actualidad/pedro-sanchez-llega-a-la-habana-para-reunirse-con-el-dictador-diaz-canel/</t>
  </si>
  <si>
    <t>RussiaToday | Pedro Sánchez tras hablar con Theresa May sobre Gibraltar: "Si no hay cambios, vetaremos el Brexit"</t>
  </si>
  <si>
    <t>http://dlvr.it/Qrtjmc</t>
  </si>
  <si>
    <t>https://pbs.twimg.com/media/Dso-dCAVYAA5RGs.jpg</t>
  </si>
  <si>
    <t>Raquel#sinergia</t>
  </si>
  <si>
    <t>Ells mateixos el fan callar Marlaska desvela que Pedro Sánchez le pidió ser candidato a la alcaldía de Madrid antes de la moción de censura  via @eldiarioes</t>
  </si>
  <si>
    <t>https://m.eldiario.es/_31d55cf9</t>
  </si>
  <si>
    <t>Terrassa Catalunya</t>
  </si>
  <si>
    <t>independentista, demòcrata, sediciosa i tumultuosa.</t>
  </si>
  <si>
    <t>Santa Cruz de Tenerife, España</t>
  </si>
  <si>
    <t>https://pbs.twimg.com/media/Dso-LRnUUAA37ZQ.jpg</t>
  </si>
  <si>
    <t>SGC</t>
  </si>
  <si>
    <t>Cabe recordar en estas elecciones que Susana Diaz, es esa señora que intentó tumbar a un político valiente como Pedro Sánchez y que lideró el movimiento para dejar gobernar a la derecha más rancia, egoísta e injusta.</t>
  </si>
  <si>
    <t>23. Graduado en Derecho. Todas las ciudades tienen su encanto, Granada el suyo y el de todas las demás ~ Antonio Machado.</t>
  </si>
  <si>
    <t>mirtha guerra more</t>
  </si>
  <si>
    <t>El Presidente del Gobierno del Reino de España, Pedro Sánchez llegó a Cuba como parte de una visita oficial.@CubaMINREX @sanchezcastejon @radiorebeldecu</t>
  </si>
  <si>
    <t>Periodista de Radio Rebelde.</t>
  </si>
  <si>
    <t>Daniela</t>
  </si>
  <si>
    <t>Cualquier opinión es válida mientras no la conviertan en imposición, admito la ignorancia pero no la estupidez humana! ❤️🇪🇸</t>
  </si>
  <si>
    <t>Pedro Chamon🇪🇸</t>
  </si>
  <si>
    <t>Segun esdiario. El viejo colaborador de Pedro Sánchez y el alcalde de Alcala de Henares, se sentará en el banquillo tras un sopapo judicial que le obliga a dimitir según los estatutos del PSOE @PSOEAlcaladeH  vía @ESdiario_com</t>
  </si>
  <si>
    <t>https://www.esdiario.com/385299377/Escandalo-en-el-PSOE-su-presidente-del-Comite-de-Etica-al-banquillo-y-no-dimite.html</t>
  </si>
  <si>
    <t>Complutense, Comunidad Madrid</t>
  </si>
  <si>
    <t>Cumpliendo sueños, pero no dormido. De Alcala de Henares, madrileño y español. Mi pasión...</t>
  </si>
  <si>
    <t>Maximus 🇪🇸</t>
  </si>
  <si>
    <t>Ciudadanos y PP si defienden a Borrell, Pedro Sánchez en cambio no quiere molestar a sus socios.</t>
  </si>
  <si>
    <t>https://www.abc.es/espana/abci-ciudadanos-y-partido-popular-defienden-borrell-y-dejan-evidencia-sanchez-201811221314_noticia.html</t>
  </si>
  <si>
    <t>Tabarnia, ESPAÑA 🇪🇸</t>
  </si>
  <si>
    <t>Tabarnés, Español, Ciudadano del mundo... Cs, anti-Nazionalista y anti-Podemita. No al populismo. 🇪🇸</t>
  </si>
  <si>
    <t>mosca cojonera49</t>
  </si>
  <si>
    <t>#ElFaroLa8 Señores tertulianos mañana Pedro Sánchez rendirá homenaje a Fidel Castro un dictador asesino con más muertos</t>
  </si>
  <si>
    <t xml:space="preserve">Antigüo Reino de valencia </t>
  </si>
  <si>
    <t>luchador y trabajador con criterio propio,busco el bien de mi familia y mi pais España, valencianista y anti catalanista no anti catalan ,mi deporte ❤ ciclismo</t>
  </si>
  <si>
    <t>http://dlvr.it/QrtjJ2</t>
  </si>
  <si>
    <t>https://pbs.twimg.com/media/Dso9hx2UcAE_MOO.jpg</t>
  </si>
  <si>
    <t>MC</t>
  </si>
  <si>
    <t>Sánchez se pliega a la dictadura castrista: no se reunirá con la oposición en su viaje a Cuba</t>
  </si>
  <si>
    <t>https://okdiario.com/espana/2018/11/21/pedro-sanchez-no-reunira-oposicion-viaje-cuba-3377734</t>
  </si>
  <si>
    <t>Valencia - Xativa</t>
  </si>
  <si>
    <t>Yo, soy yo y mis consecuencias, conmigo quien quiera, contra mi quien pueda, así que ya sabes... si no te gusto da media vuelta y echa a correr.</t>
  </si>
  <si>
    <t>GENESIS</t>
  </si>
  <si>
    <t>Pedro Sánchez tras su fijación con Franco ha tenido que agachar la cabeza ante los restos de dos dictadores: Mohamed VI y Mohamed V  vía @CorreoDeMadrid</t>
  </si>
  <si>
    <t>https://www.elcorreodemadrid.com/opinion/328387550/Pedro-Sanchez-tras-su-fijacion-con-Franco-ha-tenido-que-agachar-la-cabeza-ante-los-restos-de-dos-dictadores-Mohamed-VI-y-Mohamed-V-.html</t>
  </si>
  <si>
    <t>CUANDO SE HAYA ELIMINADO EL PELIGRO COMUNISTA, VOLVERÁ EL ORDEN NORMAL DE LAS COSAS.</t>
  </si>
  <si>
    <t>Diario de Avisos</t>
  </si>
  <si>
    <t>🌎🌎 Pedro Sánchez llega a La Habana para su primera visita oficial a Cuba  #NacionalDA</t>
  </si>
  <si>
    <t>https://diariodeavisos.elespanol.com/2018/11/pedro-sanchez-llega-a-la-habana-para-su-primera-visita-oficial-a-cuba/</t>
  </si>
  <si>
    <t>https://pbs.twimg.com/media/Dso9eIxWkAA4qgw.jpg</t>
  </si>
  <si>
    <t>El portal de noticias y entretenimiento líder en Canarias. En papel, el decano de la prensa, desde 1890 en tu kiosco</t>
  </si>
  <si>
    <t>http://www.diariodeavisos.com</t>
  </si>
  <si>
    <t>http://ver.20m.es/tzztm2</t>
  </si>
  <si>
    <t>https://pbs.twimg.com/media/Dso9ea-V4AAtOlu.jpg</t>
  </si>
  <si>
    <t>A. González Galiano</t>
  </si>
  <si>
    <t>Barbajaputa</t>
  </si>
  <si>
    <t>«We will veto Brexit». Brexit es una decisión soberana del Reino Unido sobre la que Pedro Sánchez no tiene ningún derecho de veto. Pero, EN FIN. RT @sanchezcastejon: After my conversation with Theresa May, our positions remain far away. My Government will always defend the interests of Spain. If there are no changes, we will veto Brexit.</t>
  </si>
  <si>
    <t>Director General de Prensa, Comunicación e Imagen de @CubaMINREX #Cuba.</t>
  </si>
  <si>
    <t>http://www.minrex.gob.cu</t>
  </si>
  <si>
    <t>Soy la Tercera Ley de Newton. #VERDE 🇪🇸🏳️‍🌈🇪🇺</t>
  </si>
  <si>
    <t>Pedro Sánchez tras hablar con Theresa May sobre Gibraltar: "Si no hay cambios, vetaremos el Brexit" Publicado: 22 nov 2018 22:13 GMT</t>
  </si>
  <si>
    <t>Nuria</t>
  </si>
  <si>
    <t>Juan Pablo Bellido</t>
  </si>
  <si>
    <t>⚠#ÚltimaHora Pedro Sánchez tras hablar con Theresa May sobre Gibraltar: "Si no hay cambios, vetaremos el Brexit"▪️Vía @RTultimahora 📷 @Reuters</t>
  </si>
  <si>
    <t>https://twitter.com/yoanisanchez/status/1065650002716962817
https://www.14ymedio.com/opinion/Cuba-viaje-arriesgado-Pedro-Sanchez_0_2550344946.html</t>
  </si>
  <si>
    <t>https://pbs.twimg.com/media/Dsny-QFVsAAUBdH.jpg</t>
  </si>
  <si>
    <t>https://pbs.twimg.com/media/Dso8wp2UwAEQMyE.jpg</t>
  </si>
  <si>
    <t>Usted está aquí</t>
  </si>
  <si>
    <t>Periodista y profesor universitario. A veces hablo en serio. Cada noche comparto las #portadas de los principales periódicos y las comento en @nshradio</t>
  </si>
  <si>
    <t>http://about.me/jpbellido</t>
  </si>
  <si>
    <t>Verónica Calderón</t>
  </si>
  <si>
    <t>El presidente del Gobierno español, Pedro Sánchez, amenaza con veto al Brexit por la postura británica sobre Gibraltar. RT @AFPespanol: #ÚLTIMAHORA Sánchez mantiene amenaza de veto sobre el Brexit tras conversar con May #AFP</t>
  </si>
  <si>
    <t>https://twitter.com/afpespanol/status/1065727988879290368</t>
  </si>
  <si>
    <t>https://pbs.twimg.com/media/Dso57-gVYAAFJPx.jpg</t>
  </si>
  <si>
    <t>Ciudad de México / En el aire</t>
  </si>
  <si>
    <t>Periodista. Soy de #Michoacán. Madrileña adoptiva. I 💜 DF. Dadme enchiladas placeras y conquistaré al mundo. No como pizza con piña. Mexicana funcional.</t>
  </si>
  <si>
    <t>http://www.veronicalderon.com</t>
  </si>
  <si>
    <t>https://www.20minutos.es/noticia/3499196/0/24-empresas-negocio-pedro-sanchez-cuba-poscastrista-visita/</t>
  </si>
  <si>
    <t>https://pbs.twimg.com/media/Dso8Oe9U8AAdJBY.jpg</t>
  </si>
  <si>
    <t>Noticias de Última Hora</t>
  </si>
  <si>
    <t>#ÚLTIMAHORA Pedro Sánchez tras hablar con Theresa May sobre Gibraltar: "Si no hay cambios, vetaremos el Brexit"</t>
  </si>
  <si>
    <t>pic.twitter.com/IHEXDVxo5n</t>
  </si>
  <si>
    <t>España y América</t>
  </si>
  <si>
    <t>Recibe los última hora más importantes del momento al instante. Para más noticias sigue a @NoticiarioES</t>
  </si>
  <si>
    <t>http://noticiarioespanol.com</t>
  </si>
  <si>
    <t>Ciudadano Caín</t>
  </si>
  <si>
    <t>Ojalá Pedro Sánchez estrellando el Falcon contra Downing Street en plan yihadista, gritando ¡Gibraltar españoooool!</t>
  </si>
  <si>
    <t>Antártida</t>
  </si>
  <si>
    <t>El nacionalismo, como cualquier otra religión, debe ser excretado de la política. Para expresarlo en público están los estadios, no los parlamentos.</t>
  </si>
  <si>
    <t>http://www.nomerompaslaspelotas.com</t>
  </si>
  <si>
    <t>Late Motiv en Movistar+</t>
  </si>
  <si>
    <t>¿Qué le pasa a Pedro Sánchez que no para de viajar? #LateMotiv</t>
  </si>
  <si>
    <t>https://pbs.twimg.com/media/Dsoa_6fWkAE29nf.jpg</t>
  </si>
  <si>
    <t>Late Motiv' de Andreu @Buenafuente. Una producción de @Movistarplus en colaboración con @ElTerrat.</t>
  </si>
  <si>
    <t>http://www.latemotiv.com</t>
  </si>
  <si>
    <t>RT Última Hora</t>
  </si>
  <si>
    <t>pic.twitter.com/zs2Dyfnfon</t>
  </si>
  <si>
    <t>🔴Las últimas noticias del acontecer internacional. 🔴La información más relevante al minuto. 📣Una cuenta más del equipo de redes sociales de @ActualidadRT 🙌</t>
  </si>
  <si>
    <t>https://actualidad.rt.com/</t>
  </si>
  <si>
    <t>yebano</t>
  </si>
  <si>
    <t>http://dlvr.it/QrthGd</t>
  </si>
  <si>
    <t>https://pbs.twimg.com/media/Dso8IZiV4AEuZCO.jpg</t>
  </si>
  <si>
    <t>No te des por vencido, piensa que si Dios te ha dado la vida, es porque sabe que tú puedes con ella.♥</t>
  </si>
  <si>
    <t>Paloma 🇪🇸🇪🇸🇪🇸⚔️⚔️⚔️</t>
  </si>
  <si>
    <t>Pedro Sánchez y la Bego haciendo turismo a costa de todos normalizando relaciones con la élite de una dictadura q ha masacrado a la población cubana. De reunirse con la disidencia no ha dicho nada. Le importa una mierda los DD HH #PedroEnCuba</t>
  </si>
  <si>
    <t>https://pbs.twimg.com/media/Dso7DiwWoAApsc9.jpg</t>
  </si>
  <si>
    <t>Con los pies descalzos y el corazón contento</t>
  </si>
  <si>
    <t>https://pbs.twimg.com/media/Dso8CTdU8AA2oM4.jpg</t>
  </si>
  <si>
    <t>La agencia de noticias privada líder en España | Síguenos también en Facebook: http://www.facebook.com/europapress.es e Instagram: https://www.instagram.com/europapress/</t>
  </si>
  <si>
    <t>http://www.europapress.es</t>
  </si>
  <si>
    <t>#Mundo | Pedro Sánchez tras hablar con Theresa May sobre Gibraltar: "Si no hay cambios, vetaremos el Brexit"</t>
  </si>
  <si>
    <t>http://ow.ly/QKKb101mJXI</t>
  </si>
  <si>
    <t>https://pbs.twimg.com/media/Dso7zd_V4AMEX6p.jpg</t>
  </si>
  <si>
    <t>Periodismo Historico</t>
  </si>
  <si>
    <t>En aras de objetividad histórica y periodística, salvo estrategia previa, Mr. Pedro Sánchez en visita oficial a La Habana sí debe tener contacto oficial con la oposición política por coherencia como ya hizo Mr. Barack Obama. Lo otro le perjudica #LaNoche24h @HISTORIANDO1 @eldia</t>
  </si>
  <si>
    <t>Desde el Periodismo y la Historia se pretende seguir publicando en torno a ambas disciplinas académicas. Miguel Leal Cruz. Dr. Ciencias de la Información (ULL)</t>
  </si>
  <si>
    <t>http://www.periodismohistoricosl.blogspot.com</t>
  </si>
  <si>
    <t>http://dlvr.it/Qrth5h</t>
  </si>
  <si>
    <t>https://pbs.twimg.com/media/Dso7s61U8AAQ6Sk.jpg</t>
  </si>
  <si>
    <t>Pedro Sánchez llega a Cuba para su visita oficial y hoy se reunirá con Díaz-Canel</t>
  </si>
  <si>
    <t>http://bit.ly/2FBRTYH</t>
  </si>
  <si>
    <t>DCG</t>
  </si>
  <si>
    <t>Sánchez, devuelve el doctorado que has robado</t>
  </si>
  <si>
    <t>https://okdiario.com/opinion/2018/09/22/eduardo-inda-pedro-sanchez-devuelve-doctorado-que-has-robado-3144739#.W_cpgcEYKOM.twitter</t>
  </si>
  <si>
    <t>Carlos Riquelme</t>
  </si>
  <si>
    <t>PEDRO SÁNCHEZ VA A CUBA A CONVALIDAR AL RÉGIMEN ESCLAVISTA Y GENOCIDA DE LOS CASTRO. TAMBIÉN GUARDA SILENCIO CÓMPLICE FRENTE A LA MASACRE DE MADURO EN VENEZUELA Y A LA ORTEGA EN NICARAGUA. ¡QUÉ HONORABLE EL HUMANISMO DEMOCRÁTICO DE LOS SOCIALISTAS ESPAÑOLES.</t>
  </si>
  <si>
    <t>Por el libre ejercicio del pensamiento</t>
  </si>
  <si>
    <t>NotiNewsMiami</t>
  </si>
  <si>
    <t>Más de 50 organizaciones de venezolanos en España piden “protección Temporal” al gobierno de Pedro Sánchez</t>
  </si>
  <si>
    <t>https://buff.ly/2p5JPUG</t>
  </si>
  <si>
    <t>Noticias Nacionales e Internacionales las 24 horas. Síguenos también en instagram: https://www.instagram.com/notinewsmiami/</t>
  </si>
  <si>
    <t>http://www.NotiNewsMiami.com</t>
  </si>
  <si>
    <t>miquel àngel ||*|| 🎗️</t>
  </si>
  <si>
    <t>via @eldiarioes Estáis podridos @interiorgob El TEDH os van a enterrar en vuestro lodo antes de lo que pensáis. RT @ramirp: No volen acabar amb la porqueria de l’Estat. Només volen amagar-la.</t>
  </si>
  <si>
    <t>https://www.eldiario.es/_31d55cf9
https://twitter.com/ramirp/status/1065628012182409216
https://www.eldiario.es/politica/Marlaska-Pedro-Sanchez-candidato-Madrid_0_836066553.html</t>
  </si>
  <si>
    <t>Barcelona, Catalunya.</t>
  </si>
  <si>
    <t>Barcelona Citizen Peace, Atheism, Science, Music, Art. #Llibertatpresospolíticsiexiliats</t>
  </si>
  <si>
    <t>El Okupa de la Moncloa Pedro Sánchez, viajó a un mitin del PSOE en Andalucía con SU médico personal. ¡Manda eggs el morro del señorito!</t>
  </si>
  <si>
    <t>https://pbs.twimg.com/media/Dso6h2JVAAAkLrE.jpg</t>
  </si>
  <si>
    <t>Josep Bobé 🎗</t>
  </si>
  <si>
    <t>“El Estado tiene resortes para que no lo pongan en jaque" La gal-linaza de las gal-linas y gal-litos gal-ardonados</t>
  </si>
  <si>
    <t>Barcelona/Catalunya/Europa</t>
  </si>
  <si>
    <t>Malforjat i bilingüe. De natural parlava i escrivia en català. Ara també per molestar. Adherit, des de la seva fundació, al Moviment d'Esquerres, MES.</t>
  </si>
  <si>
    <t>http://sentimentsenminiatura.com</t>
  </si>
  <si>
    <t>Pedro Sánchez insiste en la oposición de España sobre Gibraltar: “Si no hay cambios, vetaremos el ‘brexit”</t>
  </si>
  <si>
    <t>https://www.veoinfo.com/pedro-sanchez-insiste-en-la-oposicion-de-espana-sobre-gibraltar-si-no-hay-cambios-vetaremos-el-brexit/</t>
  </si>
  <si>
    <t>https://pbs.twimg.com/media/Dso6a0PVAAIP7Yx.jpg</t>
  </si>
  <si>
    <t>Gutiérrez Mellado se lanzó contra un tío con metralleta. Pedro Sánchez no ha defendido ni a su ministro cuando le escupen. RT @gonnassau: Gutiérrez Mellado se lanzó contra un tío con metralleta. Pedro Sánchez no ha defendido ni a su ministro cuando le escupen.</t>
  </si>
  <si>
    <t>https://twitter.com/gonnassau/status/1065336258048786433</t>
  </si>
  <si>
    <t>https://pbs.twimg.com/media/DsjVqr6WsAAoFD8.jpg</t>
  </si>
  <si>
    <t>Albert Dickinson</t>
  </si>
  <si>
    <t>Pedro Sánchez acabando con el Brexit puede ser el culmen de la década. RT @sanchezcastejon: Tras mi conversación con Theresa May, nuestras posiciones permanecen lejanas. Mi Gobierno siempre defenderá los intereses de España. Si no hay cambios, vetaremos el Brexit.</t>
  </si>
  <si>
    <t>Dublín - Madrid</t>
  </si>
  <si>
    <t>(22) We don't need a code of morality. Ni patria ni bandera.</t>
  </si>
  <si>
    <t>Albert Rivera acusa a Pedro Sánchez de poner el estado al servicio de los golpistas. Joder, como si no supiera que España lleva 80 años a su servico.</t>
  </si>
  <si>
    <t>https://pbs.twimg.com/media/Dso6QtyUwAAOSPR.jpg</t>
  </si>
  <si>
    <t>Alejandro Garcia</t>
  </si>
  <si>
    <t>El mitin de Pedro Sánchez y Susana Díaz en Marbella cambia de día  vía @marbella24horas</t>
  </si>
  <si>
    <t>Marbella, Spain</t>
  </si>
  <si>
    <t>Marbellero y Nazareno, sevillista de corazón, el carnaval como pasión, y socialista por convicción.</t>
  </si>
  <si>
    <t>EmbajadaCubaColombia</t>
  </si>
  <si>
    <t>Informa Prensa Latina que acaba de llegar a #Cuba el presidente del Gobierno de España, Pedro Sánchez, en visita oficial de dos días, durante la cual sostendrá conversaciones con autoridades de la nación caribeña.</t>
  </si>
  <si>
    <t>EmbaCubaColombia</t>
  </si>
  <si>
    <t>http://misiones.minrex.gob.cu/es/colombia</t>
  </si>
  <si>
    <t>"Si no hay cambios, vetaremos el Brexit", advierte Pedro Sánchez sobre las negociaciones por Gibraltar en el brexit</t>
  </si>
  <si>
    <t>https://www.publico.es/politica/gobierno-acusa-may-y-ue-declaracion-politica-gibraltar.html?utm_source=twitter&amp;utm_medium=social&amp;utm_campaign=publico</t>
  </si>
  <si>
    <t>Tamiroff</t>
  </si>
  <si>
    <t>Podemos asegurar sin temor a equivocarnos que con Pedro Sánchez Pérez-Castejón estamos ante el tercer genio subnormal.</t>
  </si>
  <si>
    <t>Eduardo Marin</t>
  </si>
  <si>
    <t>Morales: Visita de Pedro Sánchez a Cuba es importante para Cuba  vía @YouTube</t>
  </si>
  <si>
    <t>https://youtu.be/nfsQEBv0ZVA</t>
  </si>
  <si>
    <t>Comunicaciones para el Cambio Global - Estudié Periodismo en la Facultad de Filosofía - U de Chile</t>
  </si>
  <si>
    <t>http://CartadelSur.blogspot.com</t>
  </si>
  <si>
    <t>Lorena Cantó</t>
  </si>
  <si>
    <t>Pedro Sánchez @sanchezcastejon acaba de aterrizar en La Habana, poniendo fin a un lapso de 32 años sin que un jefe del Gobierno de España visitara la isla. Esta misma tarde se reúne con el presidente de Cuba, @DiazCanelB. Lo iremos contando en @EFEnoticias</t>
  </si>
  <si>
    <t>Delegada de la Agencia EFE en Cuba, antes Bolivia y España. Opiniones mías | EFE News Agency bureau chief @ Cuba. Formerly in Bolivia &amp; Spain. Opinions, my own.</t>
  </si>
  <si>
    <t>CONCHA ZARAGOZA</t>
  </si>
  <si>
    <t>ZARAGOZA - ESPAÑA</t>
  </si>
  <si>
    <t>Casada, tres hijos. No soporto la mentira ni la hipocresía. Mi lema...Carpe Diem.</t>
  </si>
  <si>
    <t>Fabio Buitrago</t>
  </si>
  <si>
    <t>Quisiera saber como reaccionarían los fachas si acaba siendo Pedro Sánchez quien recupera Gibraltar RT @eldiarioes: ÚLTIMA HORA | Sánchez asegura que el Gobierno "vetará" el acuerdo del Brexit si no defiende "los intereses de España" sobre Gibraltar</t>
  </si>
  <si>
    <t>https://twitter.com/eldiarioes/status/1065724910214004743
https://www.eldiario.es/politica/Pedro-Sanchez-Espana-Brexit-Gibraltar_0_838517223.html</t>
  </si>
  <si>
    <t>https://pbs.twimg.com/media/Dso3APdX4AAvn0g.jpg</t>
  </si>
  <si>
    <t>Andalucía Sovietica</t>
  </si>
  <si>
    <t>Bajo los adoquines están las playas/Historia como herramienta para cambiarlo todo/Nicandalú</t>
  </si>
  <si>
    <t>https://curiouscat.me/</t>
  </si>
  <si>
    <t>Javier San José</t>
  </si>
  <si>
    <t>Lo que no salio en los telediarios, sonada pitada y bocinada a Pedro Sánchez, y sin casi gente porque se prohibió la entrada a San Pablo para que no le abuchearan más.</t>
  </si>
  <si>
    <t>pic.twitter.com/E2385VRWx1</t>
  </si>
  <si>
    <t>Valladolid Spain</t>
  </si>
  <si>
    <t>Rafi</t>
  </si>
  <si>
    <t>http://www.citizengo.org/hazteoir/166670-no-expolie-por-segunda-vez-archivo-salamanca?tc=tw&amp;tcid=52310073</t>
  </si>
  <si>
    <t>Abstenerse partidos PODEMOS, PSOE, IU, resto, según demanda</t>
  </si>
  <si>
    <t>Pedro Sánchez insiste en la oposición de España sobre Gibraltar: "Si no hay cambios, vetaremos el 'brexit"</t>
  </si>
  <si>
    <t>http://ver.20m.es/dlw8r2</t>
  </si>
  <si>
    <t>https://pbs.twimg.com/media/Dso4xo0W0AAYR87.jpg</t>
  </si>
  <si>
    <t>Pedro Sánchez mantiene su oposición al acuerdo del Brexit por Gibraltar</t>
  </si>
  <si>
    <t>http://ondace.ro/woizo2</t>
  </si>
  <si>
    <t>Onda Cero, 24 horas de información y entretenimiento. Te mereces esta radio. Tu #radio</t>
  </si>
  <si>
    <t>http://www.ondacero.es</t>
  </si>
  <si>
    <t>HECTOR GONZALEZ</t>
  </si>
  <si>
    <t>Pedro Sánchez inicia una visita a Cuba sin citas con la disidencia  vía @elpais_espana</t>
  </si>
  <si>
    <t>Dr. Gabriel Quesada Avendaño</t>
  </si>
  <si>
    <t>https://trib.al/H7whe0Q</t>
  </si>
  <si>
    <t>San Jose, Costa Rica</t>
  </si>
  <si>
    <t>President of Instituto Costarricense de Ecología Aplicada</t>
  </si>
  <si>
    <t>http://www.garantiasambientales.blogspot.com</t>
  </si>
  <si>
    <t>6(sic)6</t>
  </si>
  <si>
    <t>Pedro Sánchez @sanchezcastejon ponle más horas al día que no me da tiempo de hacer cosas</t>
  </si>
  <si>
    <t>seboya</t>
  </si>
  <si>
    <t>I'm nothing short of being one complete catastrophe</t>
  </si>
  <si>
    <t>https://curiouscat.me/crisponxo</t>
  </si>
  <si>
    <t>http://dlvr.it/QrtfBX</t>
  </si>
  <si>
    <t>https://pbs.twimg.com/media/Dso4RE9VYAATNEM.jpg</t>
  </si>
  <si>
    <t>José Luis Tivi</t>
  </si>
  <si>
    <t>Resumen de lo de ayer para que el que se lo haya perdido. Uno de ERC escupe a uno del PSOE. Los compañeros del PSOE "no han visto nada". Pedro Sánchez echa la culpa a Pablo Casado y exige que se disculpe. El escupido no dimite, como habría hecho cualquiera.</t>
  </si>
  <si>
    <t>Gaditano, del Betis y liberal, por este orden. Hablo mucho de la política pero nunca bien. Contacto: eltivipata@gmail.com</t>
  </si>
  <si>
    <t>https://josetivi.wordpress.com/</t>
  </si>
  <si>
    <t>#ÚLTIMAHORA | Pedro Sánchez: "El Gobierno defenderá los intereses de España. Si no hay cambios, vetaremos el Brexit"</t>
  </si>
  <si>
    <t>http://atres.red/nkcnh1</t>
  </si>
  <si>
    <t>Una buena oportunidad para los intereses españoles. Las empresas que viajan con ⁦@sanchezcastejon⁩ a #Cuba  ⁦@elconfidencial⁩</t>
  </si>
  <si>
    <t>https://pbs.twimg.com/media/Dso3cQKU0AAVgpz.jpg</t>
  </si>
  <si>
    <t>http://dlvr.it/QrtdqC</t>
  </si>
  <si>
    <t>https://pbs.twimg.com/media/Dso3W45U4AAkmrS.jpg</t>
  </si>
  <si>
    <t>Luis Miguel Fuentes</t>
  </si>
  <si>
    <t>Articulista y escritor. Columnista de El Mundo y El Independiente. También en The Objective. Autor de 'Como llueve en las despedidas' (Seleer)</t>
  </si>
  <si>
    <t>http://luismiguelfuentes.blogspot.com.es/</t>
  </si>
  <si>
    <t>Joan Calaf</t>
  </si>
  <si>
    <t>Veinticuatro horas después del supuesto escupitajo en el Congreso, aflora el intercambio de críticas</t>
  </si>
  <si>
    <t>http://bit.ly/2DSMASP</t>
  </si>
  <si>
    <t>https://pbs.twimg.com/media/Dso3KHxXgAIGVa8.jpg
https://pbs.twimg.com/media/DsonIS1WkAAgIVe.jpg</t>
  </si>
  <si>
    <t>Antes era malo ahora ya no, Vivir el dia a dia Fan de Dragon Ball Z/GT/Super</t>
  </si>
  <si>
    <t>ÚLTIMA HORA | Sánchez asegura que el Gobierno "vetará" el acuerdo del Brexit si no defiende "los intereses de España" sobre Gibraltar</t>
  </si>
  <si>
    <t>romualdo peris garci</t>
  </si>
  <si>
    <t>España por culpa de Europa ya tuvo su Trafalgar, por ello esperemos que Pedro Sanchez no confie en Macron y Merkel (ese nuevo Napoleon) y recuerde su primer mandamiento : NO es NO.</t>
  </si>
  <si>
    <t>Román Álvarez</t>
  </si>
  <si>
    <t>#ElCascabel22N Es evidente que Pedro Sánchez tiene un afán de protagonismo obsesivo, lo hemos visto recientemente con el viaje a Valladolid. Yo creo sinceramente que su viaje a Cuba ni siquiera lo ha madurado, simplemente lo hace para exhibir su imagen al estilo americano.</t>
  </si>
  <si>
    <t>Soy muy exigente conmigo mismo, obseso del orden y español hasta la médula. Si me sigues te sigo.</t>
  </si>
  <si>
    <t>Pardela</t>
  </si>
  <si>
    <t>Telefónica, Iberia, Uría, Air Europa o CEOE: el séquito empresarial de Sánchez en Cuba</t>
  </si>
  <si>
    <t>https://www.elconfidencial.com/espana/2018-11-22/telefonica-iberia-air-europa-ceo-empresas-pedro-sanchez-cuba_1663690/?utm_campaign=BotoneraWebapp&amp;utm_source=twitter&amp;utm_medium=social</t>
  </si>
  <si>
    <t>Cosmopolita 🌍</t>
  </si>
  <si>
    <t>#AgainstRacism #NoAlRacismo #GegenRassismus</t>
  </si>
  <si>
    <t>Pedro Sánchez, firme con Gibraltar: "Si no hay cambios, vetaremos el Brexit" Mayo no sabe si hablaba con el Dr. Jekyll o Mr Hyde 😱  vía @indpcom</t>
  </si>
  <si>
    <t>El Nene Patriota 🇪🇸</t>
  </si>
  <si>
    <t>Así es la estocada definitiva que planea dar Pedro Sánchez a los autónomos: Hasta 573,72 euros de subida al año en su cotización mínima &gt;&amp;gt;</t>
  </si>
  <si>
    <t>http://Extraconfidencial.com
https://extraconfidencial.com/noticias/asi-es-la-estocada-definitiva-que-planea-dar-pedro-sanchez-a-los-autonomos-hasta-57372-euros-de-subida-al-ano-en-su-cotizacion-minima/</t>
  </si>
  <si>
    <t>Entre Castilla y Aragón</t>
  </si>
  <si>
    <t>Joven Abogado. Del Real Madrid. Mis principios: Familia, Cristianismo, Patria, Tradición, Ley y Orden. Según la prograda: machirulo, islamóbofo y facha.</t>
  </si>
  <si>
    <t>Ana Garro Gómez</t>
  </si>
  <si>
    <t>TARRAGONA</t>
  </si>
  <si>
    <t>Toni Blasco</t>
  </si>
  <si>
    <t>Pedro Sánchez suma otro desplante con Gibraltar</t>
  </si>
  <si>
    <t>https://www.lasprovincias.es/internacional/union-europea/bruselas-londres-acuerdo-posbrexit-20181122115651-ntrc.html</t>
  </si>
  <si>
    <t>Periodista. La noche no me confunde. Cazador de historias en la jungla de asfalto. Veo, oigo y pregunto a unos para contar a otros. ¿Me sigues? #Noticias</t>
  </si>
  <si>
    <t>Miguel Trinidad Arag</t>
  </si>
  <si>
    <t>Pedro Sánchez llega este jueves a Cuba para rendir pleitesía a los dictadores amigos... ¿Por qué odiará tanto a unos y rendirá vasallaje a otros...será eso la "nueva democracia"...la suya?</t>
  </si>
  <si>
    <t>https://bit.ly/2r21zBo</t>
  </si>
  <si>
    <t>Ingeniero, realista, riguroso, crítico.Amante de la lógica, la psicología social, la inteligencia emocional y las gentes con principios.Ex director de empresas</t>
  </si>
  <si>
    <t>francisco alcaraz</t>
  </si>
  <si>
    <t>Biografía oficial del Excmo. Sr. Pedro Sánchez Pérez-Castejón, Presidente del Gobierno del Reino -  #GoogleAlerts</t>
  </si>
  <si>
    <t>http://goo.gl/alerts/a9842</t>
  </si>
  <si>
    <t>INTENDENTE MERCANTIL, SIN DISCIPLINA DE PARTIDO,VIAJERO,NATURAL DE JOILANDIA , MASTER EN DERECHO TRIBUTARIO Y ASESORIA FISCAL</t>
  </si>
  <si>
    <t>Confraria De Pescadors SEDR</t>
  </si>
  <si>
    <t>#Més324 Ha ido ya Pedro Sánchez a Gibraltar a preguntar a los monos que pone en su DNI ???</t>
  </si>
  <si>
    <t>La Confraria de Pescadors de Sant Esteve de les Roures va ser creada 1-O-2017 com una associacio corporativa de pescadors amb un clar fi social.</t>
  </si>
  <si>
    <t>24 horas (RNE)</t>
  </si>
  <si>
    <t>Ahora en @24horas_rne entrevistamos a @luisangelhern31 Responsable de Bolsa y Formación en @Rankia. Hablamos sobre la visita de Pedro Sánchez a Cuba. Escúchala aquí 👇📻</t>
  </si>
  <si>
    <t>http://www.rtve.es/radio/radio-nacional/directo/</t>
  </si>
  <si>
    <t>La información y el análisis. De lunes a viernes, de 20:00 a 00:00h en @rne Toda la información con @adelgadoRNE y @SandraUrdin</t>
  </si>
  <si>
    <t>http://www.rtve.es/alacarta/audios/24-horas/</t>
  </si>
  <si>
    <t>Josep Goded</t>
  </si>
  <si>
    <t>Spanish PM Pedro Sánchez on Brexit. #EU #UK RT @sanchezcastejon: After my conversation with Theresa May, our positions remain far away. My Government will always defend the interests of Spain. If there are no changes, we will veto Brexit.</t>
  </si>
  <si>
    <t>Catalonia-Europe-World</t>
  </si>
  <si>
    <t>Independent journalist currently focusing on #Catalonia. You can support my reporting here: https://bit.ly/2IsrkTh</t>
  </si>
  <si>
    <t>https://josepgoded.wordpress.com/</t>
  </si>
  <si>
    <t>K A R Y 💓</t>
  </si>
  <si>
    <t>Algun lugar del mundo</t>
  </si>
  <si>
    <t>Me gusta la moda, la política y el fútbol. Madridista hasta la médula 🇪🇸🇪🇸🇪🇸🇪🇸🇪🇸🇪🇸🇪🇸🇪🇸🇪🇸🇪🇸🇪🇸</t>
  </si>
  <si>
    <t>Juana Campillo</t>
  </si>
  <si>
    <t>Gobierno de España: DIMISIÓN DE PEDRO SÁNCHEZ - ¡Firma la petición!  vía @change_es</t>
  </si>
  <si>
    <t>http://chng.it/RfC2ffKV</t>
  </si>
  <si>
    <t xml:space="preserve">Valencia. nacida en Covadonga </t>
  </si>
  <si>
    <t>Gran soñadora, sueña por un mundo mejor, que haya paz en él, la historia y monumentos de cada nación sean respetados, las vidas,respeto, respeto ¿existes?</t>
  </si>
  <si>
    <t>Fernando M. Gracia  🇪🇸</t>
  </si>
  <si>
    <t>https://www.elindependiente.com/politica/2018/11/22/sanchez-gibraltar-no-cambios-vetaremos-brexit/?utm_source=share_buttons&amp;utm_medium=facebook&amp;utm_campaign=social_share</t>
  </si>
  <si>
    <t>Granada, Andalucía, España, Eu</t>
  </si>
  <si>
    <t>Ex-político amateur. Músico, profesor profesional, informático, historiófilo, lector compulsivo, cinéfilo, proy. de escritor, abanderado de 🇪🇸 y E. de Tabarnia.</t>
  </si>
  <si>
    <t>http://diariomyr.com</t>
  </si>
  <si>
    <t>JuanMa Yedra</t>
  </si>
  <si>
    <t>Buena oportunidad la del viaje de Pedro Sánchez a Cuba para demostrar si le inquietan tanto los dictadores vivos como los muertos.</t>
  </si>
  <si>
    <t>https://www.libertaddigital.com/espana/2018-11-22/yoani-sanchez-el-viaje-de-sanchez-a-cuba-esta-mas-inclinado-al-oficialismo-que-a-la-disidencia-1276628714/</t>
  </si>
  <si>
    <t>Ser ESPAÑOL, hoy día, a algunos les molesta, a lo mejor tendría que ser francés o alemán para que esos apátridas no se sientan ofendidos....¡un mojón!</t>
  </si>
  <si>
    <t>topotamadre @</t>
  </si>
  <si>
    <t>Por fin una frase coherente después de más de cinco meses en el Gobierno. Mi miedo es que la haya pronunciado Pedro Sánchez y no el Presidente del Gobierno. RT @sanchezcastejon: Tras mi conversación con Theresa May, nuestras posiciones permanecen lejanas. Mi Gobierno siempre defenderá los intereses de España. Si no hay cambios, vetaremos el Brexit.</t>
  </si>
  <si>
    <t>🇪🇸Me gusta el fútbol, el vino, las mujeres y el rock and roll, pero lo que más me gusta es ver a los comunistas actuales ponerse morados. Español ante todo 🇪🇸</t>
  </si>
  <si>
    <t>Radio Unión Tenerife</t>
  </si>
  <si>
    <t>Pedro Sanchez insiste en la posición de España sobre Gibraltar: "Si no hay cambios, vetaremos el 'brexit"</t>
  </si>
  <si>
    <t>http://ver.20m.es/dlw8r1</t>
  </si>
  <si>
    <t>Cinco continentes</t>
  </si>
  <si>
    <t>Pedro Sánchez no tiene previsto reunirse con opositores en su visita a La Habana. Pero la disidencia en el exilio ha querido hacerse escuchar desde Madrid. Piden a la UE respeto a los DDHH. Nos lo cuenta Aurora Moreno 👉📻</t>
  </si>
  <si>
    <t>http://www.rtve.es/a/4853400/</t>
  </si>
  <si>
    <t>https://pbs.twimg.com/media/Dso05gzU4AAeeeT.jpg</t>
  </si>
  <si>
    <t>El programa que analiza la actualidad internacional, de lunes a viernes, de 19:05 a 19:45 en @radio5_rne y @rtve con @MariaEulate</t>
  </si>
  <si>
    <t>http://www.rtve.es/alacarta/audios/cinco-continentes/</t>
  </si>
  <si>
    <t>Gladiator Of Peace</t>
  </si>
  <si>
    <t>#ElCascabel22N Ultima hora!!!!, Doña Susana Díaz convoca a bombo y platillo,un mitin electoral en el taxi, y no va nadie, ni D. Pedro Sanchez!!!, Increíble!!!!!.</t>
  </si>
  <si>
    <t>https://pbs.twimg.com/media/Dso0__LVYAAMu9c.jpg</t>
  </si>
  <si>
    <t>Around The World</t>
  </si>
  <si>
    <t>❤️ Is And Will Be, My Reason To Be And To Live. Let Us Pray For His Holiness Pope Francis. There Is Not, More Beautiful Gesture, That To Feed Happiness, With ❤️</t>
  </si>
  <si>
    <t>Pedro @SanchezCastejon insiste en la posición de España sobre Gibraltar: "Si no hay cambios, vetaremos el 'brexit"</t>
  </si>
  <si>
    <t>PAUL®</t>
  </si>
  <si>
    <t>España: Pedro Sánchez reconoce que tras su conversación con May sobre Gibraltar confirma: "Vetaremos el Brexit"</t>
  </si>
  <si>
    <t>acá</t>
  </si>
  <si>
    <t>in omnia paratus</t>
  </si>
  <si>
    <t>Fernando Bermejo</t>
  </si>
  <si>
    <t>Director adjunto en #ElIndependiente @indpcom</t>
  </si>
  <si>
    <t>El exministro Miguel Ángel Moratinos ha sido nombrado nuevo Alto Representante de la ONU para la Alianza de Civilizaciones. Con él hablamos de sus retos en el cargo, de Gibraltar y del viaje de Pedro Sánchez a Cuba 👉📻</t>
  </si>
  <si>
    <t>http://www.rtve.es/a/4853298</t>
  </si>
  <si>
    <t>https://pbs.twimg.com/media/DsozlgFWwAEXTHJ.jpg</t>
  </si>
  <si>
    <t>Cristobal Espinosa</t>
  </si>
  <si>
    <t>Pedro Sánchez volverá a participar el martes 27 en la campaña en un mitin en Marbella junto a Susana Díaz</t>
  </si>
  <si>
    <t>http://ow.ly/yMHN30mIG5s</t>
  </si>
  <si>
    <t>San Pedro de Alcantara</t>
  </si>
  <si>
    <t>Sampedreño. Casado. Padre de dos hijos. Tecnico Superior en Imagen para el Diagnostico. Agencia Sanitaria Costa del Sol</t>
  </si>
  <si>
    <t>Manuel Sánchez T.</t>
  </si>
  <si>
    <t>#QuéBarbariá El Ejército del Aire destina tres aviones para desplazar a 188 kilómetros a Pedro Sánchez y sus ministros</t>
  </si>
  <si>
    <t>https://okdiario.com/espana/2018/11/21/ejercito-del-aire-tres-aviones-pedro-sanchez-3373984#.W_ch66RUgJM.twitter</t>
  </si>
  <si>
    <t>Hispalense, Macareno, Armao en la reserva, Bético por la gracia de Dios!! #DeSevillanasManeras ¡¡Quien no vive para servir, no sirve para vivir!! 🇪🇸</t>
  </si>
  <si>
    <t>RadioCarmenaM21</t>
  </si>
  <si>
    <t>Susana Díaz, el otro día con Pedro Sánchez en un mitin. Susana Díaz, hoy, tiene que suspender un mitin. Yo no digo nada, pero Pedro Sánchez fue quien le deseo mucha suerte a Hillary Clinton</t>
  </si>
  <si>
    <t>En el Ayuntamiento, a veces</t>
  </si>
  <si>
    <t>Cuenta oficial Fake; 25.000 niños en riesgo de pobreza han desaparecido #RadioCarmena➡️úsalo para tus quejas, 📻en la 88.6 FM (entre las 00:00-08:30 soy un bot)</t>
  </si>
  <si>
    <t>María Garcia</t>
  </si>
  <si>
    <t>Pobre Cuba ,,la MARCA ESPAÑA llega a la isla ,,Telefónica, Iberia, Uría, Air Europa o @CEOE_ES ¿ y "tito Florentino ,no va ?  @EU_Commission @CasaReal @CiudadanosCs @PSOE @PPopular</t>
  </si>
  <si>
    <t>Para los que no tenemos creencias, la democracia es nuestra religión.</t>
  </si>
  <si>
    <t>Pedro Sánchez no se reune con ningún demócrata en Cuba.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</si>
  <si>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Para ir al lado!! #QuéBarbariá</t>
  </si>
  <si>
    <t>https://okdiario.com/espana/2018/11/21/ejercito-del-aire-tres-aviones-pedro-sanchez-3373984#.W_chdswewko.facebook</t>
  </si>
  <si>
    <t>Yo con Pedro Sánchez y el Gobierno!!!</t>
  </si>
  <si>
    <t>https://pbs.twimg.com/media/DsozV6YU4AAorCj.jpg</t>
  </si>
  <si>
    <t>El Ejército del Aire destina tres aviones para desplazar a 188 kilómetros a Pedro Sánchez y sus ministros</t>
  </si>
  <si>
    <t>https://okdiario.com/espana/2018/11/21/ejercito-del-aire-tres-aviones-pedro-sanchez-3373984?utm_campaign=newsletter-21-noviembre&amp;utm_medium=email&amp;utm_source=acumbamail</t>
  </si>
  <si>
    <t>#ElCascabel22N Pedro Sánchez corre él solo “el marathon del Decreto Ley”, pasando de largo del control de avituallamiento que le prestan sus queridos amigos y socios de Gobierno, para sentarse y descansar y para que acceda a sus pretensiones de ..., “Convocar Elecciones Ya”!!.</t>
  </si>
  <si>
    <t>https://pbs.twimg.com/media/DsoynVnU8AU9o90.jpg</t>
  </si>
  <si>
    <t>Esperanza Escribano</t>
  </si>
  <si>
    <t>Pedro Sánchez desde la Habana. RT @sanchezcastejon: Tras mi conversación con Theresa May, nuestras posiciones permanecen lejanas. Mi Gobierno siempre defenderá los intereses de España. Si no hay cambios, vetaremos el Brexit.</t>
  </si>
  <si>
    <t>Freelance journalist. Producing for BBC in Spain. Also Público, ETB... Y un par de sueños: @bcnmes y @gsnotaftershave. Cuéntame tu historia, DM open.</t>
  </si>
  <si>
    <t>http://esperanzaescribano.com</t>
  </si>
  <si>
    <t>https://pbs.twimg.com/media/DsoyPjTV4AAR5nL.jpg</t>
  </si>
  <si>
    <t>Adolfo#Universal</t>
  </si>
  <si>
    <t>Colmenar Viejo</t>
  </si>
  <si>
    <t>Escritor, Filósofo y Freak</t>
  </si>
  <si>
    <t>http://manifiestouniversalista.blogspot.com</t>
  </si>
  <si>
    <t>La Opinión A Coruña</t>
  </si>
  <si>
    <t>#Vídeo ▶ La primera ministra británica dice en el Parlamento que fue "absolutamente clara" con Pedro Sánchez 👇</t>
  </si>
  <si>
    <t>https://www.laopinioncoruna.es/multimedia/videos/internacional/2018-11-22-158190-acuerdo-entre-reino-unido-menciona-peon.html</t>
  </si>
  <si>
    <t>Las últimas noticias de A Coruña, su área y toda Galicia. Política, ocio y deportes. El día a a día contado en tuits</t>
  </si>
  <si>
    <t>https://www.laopinioncoruna.es/</t>
  </si>
  <si>
    <t>https://okdiario.com/espana/2018/11/21/sanchez-mando-coche-oficial-vacio-valladolid-hacer-8-kms-del-aeropuerto-ciudad-3377374#.W_cfpKQO_Io.twitter</t>
  </si>
  <si>
    <t>¿Podemos llamar ya a Pedro Sánchez, "Willy Fog"? #LaVueltaAlMundoDelPresidenteEn80Días</t>
  </si>
  <si>
    <t>https://pbs.twimg.com/media/DsoxcfwWkAYSoNt.jpg</t>
  </si>
  <si>
    <t>Diego Blázquez</t>
  </si>
  <si>
    <t>¿No podían ir en Ave? ¿Había que fletar un Airbus? Este tío es IMBÉCIL del todo. Pedro Sánchez mandó su coche oficial vacío a Valladolid para hacer los 8 kms del aeropuerto a la ciudad</t>
  </si>
  <si>
    <t>Incomprendido...Quizás porque se me entiende bien.Y eso gusta poco.➡️No hay labor más complicada en el mundo que explicarle a un imbécil algo que sea evidente©️</t>
  </si>
  <si>
    <t>http://baloncestodepizarra.blogspot.com.es/</t>
  </si>
  <si>
    <t>Carla Chiguire</t>
  </si>
  <si>
    <t xml:space="preserve">             Venezuela.</t>
  </si>
  <si>
    <t>Noticias, Pro-Vida, Tecnología,y Anticomunista.</t>
  </si>
  <si>
    <t>EZEQUIEL PEREZ</t>
  </si>
  <si>
    <t>Pedro Sánchez, el paso atrás de la izquierda. Y era de esperar Artículo de @LuisAneiros #FemXarxa #FemPais #FemRepublica  vía @nuevarevoluci0n</t>
  </si>
  <si>
    <t>F.Javier Villalvilla</t>
  </si>
  <si>
    <t>instagram: ezequiel_6982</t>
  </si>
  <si>
    <t>Alcalá de Henares-Madrid-SPAIN</t>
  </si>
  <si>
    <t>Somos la chispa que encenderá el fuego que restaurará la República. Esa chispa, esta Resistencia, debe sobrevivir🎗, BSO, animalista, Cine, Marvel, DC, StarWars</t>
  </si>
  <si>
    <t>ADE.Comparto actualidad polític,econ,sociedad,deportes,cultura,pref cine.Me gusta el sentido común q por desgracia muchas veces es el menos común d los sentidos</t>
  </si>
  <si>
    <t>Telefónica, Iberia, Uría, Air Europa o CEOE: el séquito empresarial de Sánchez en Cuba  Juanma Romero. La Habana</t>
  </si>
  <si>
    <t>https://ift.tt/2r2puAU</t>
  </si>
  <si>
    <t>Pedro Sánchez inicia una visita a Cuba sin citas con la disidencia  via @elpais_espana</t>
  </si>
  <si>
    <t>Gustavo rodriguez garcia</t>
  </si>
  <si>
    <t>Theresa May advierte a Pedro Sánchez de que protegerá la "soberanía británica" de Gibraltar si huivera 🥚 cierre de la reja al carajo picado y los ingleseshuettps://www.elmundo.es/internacional/2018/11/22/5bf6b01b468aeb352a8b463a.html vía @elmundoes</t>
  </si>
  <si>
    <t>saenz de varona</t>
  </si>
  <si>
    <t>Mabel Guantánamo</t>
  </si>
  <si>
    <t>Guantánamo, Cuba</t>
  </si>
  <si>
    <t>No vivo en una sociedad perfecta, pero Amo esta Isla, con toda su belleza, imperfecciones y la voluntad de todos de escoger nuestro propio destino</t>
  </si>
  <si>
    <t>Sotogrande ( Cádiz ) España</t>
  </si>
  <si>
    <t>Dr. en Derecho. Lcdo. Empresariales ICADE. MBA Berkeley University. Exprofesor Universidad de Sevilla y de la UNED. Del Instituto Estudios Campogibraltareños</t>
  </si>
  <si>
    <t>http://www.saenzsotogrande.blogspot.com</t>
  </si>
  <si>
    <t>maria dolores ruiz</t>
  </si>
  <si>
    <t xml:space="preserve">Barcelona </t>
  </si>
  <si>
    <t>Naciimiento : gerena sevilla . Domicilio barcelona. Trabajo correo.. deporte que practico, natacion. Me gusta el cine. Me interesa la politica</t>
  </si>
  <si>
    <t>Comerzia</t>
  </si>
  <si>
    <t>24 empresas van a hacer negocio con Sánchez en la Cuba poscastrista  #Noticias</t>
  </si>
  <si>
    <t>http://bit.ly/2BrnYhq</t>
  </si>
  <si>
    <t>Comercio exterior, primera empresa europea en ofrecer soluciones en el entorno #Intrastat. Servicios estadísticos para empresas, operaciones intracomunitarias.</t>
  </si>
  <si>
    <t>http://www.comerziacs.com</t>
  </si>
  <si>
    <t>Mateo Luna</t>
  </si>
  <si>
    <t>La demora de elecciones, hace agonizar a España!!!! Bruselas desmonta punto por punto el Presupuesto de Pedro Sánchez  vía @elmundoes</t>
  </si>
  <si>
    <t>César González ®</t>
  </si>
  <si>
    <t>24 empresas van a hacer negocio con Sánchez en la Cuba poscastrista  vía @20m</t>
  </si>
  <si>
    <t>https://www.20minutos.es/noticia/3499196/0/24-empresas-negocio-pedro-sanchez-cuba-poscastrista-visita/?utm_source=twitter.com&amp;utm_medium=socialshare&amp;utm_campaign=mobile_amp</t>
  </si>
  <si>
    <t xml:space="preserve">Panamá PTY </t>
  </si>
  <si>
    <t>#NoAlMaltratoAnimal #StopAnimalAbuse #Tenis #Tennis #StopTerrorism</t>
  </si>
  <si>
    <t>CdV - Extremadura</t>
  </si>
  <si>
    <t>.@sanchezcastejon, el amigo de @gfvara, quiere que los niños de Badajoz y Olivenza estudien portugués, pero no que los de Hernani y Tui puedan estudiar libremente en español</t>
  </si>
  <si>
    <t>Delegación del @clubdeviernes en Extremadura. FB: CdVExtremadura TELEGRAM: http://telegram.me/cdvsur E-MAIL: extremadura@elclubdelosviernes.org</t>
  </si>
  <si>
    <t>http://elclubdelosviernes.org</t>
  </si>
  <si>
    <t>Boniato Diploide</t>
  </si>
  <si>
    <t>Debería seguir a Pedro Sánchez?O quizás a Pablo Iglesias? Nah mejor me hago hater de Rajoy.</t>
  </si>
  <si>
    <t>cactus</t>
  </si>
  <si>
    <t>Rock &amp; bluegrass forever🤠🤘 🔴Red Moon Sons🔴 Guitarra y banjo</t>
  </si>
  <si>
    <t>Guanche-Valencia</t>
  </si>
  <si>
    <t>Valencia-España</t>
  </si>
  <si>
    <t>Chofer de autobuses, guaguas, fotingos y todo lo que se menea</t>
  </si>
  <si>
    <t>Karls Vall</t>
  </si>
  <si>
    <t>Alfonso Ussía le borra la sonrisa al "ególatra y hortera" Pedro Sánchez mandándole de un sopapo al psiquiátrico  vía @Periodistadigit</t>
  </si>
  <si>
    <t>https://www.periodistadigital.com/periodismo/prensa/2018/11/22/alfonso-ussia-borra-sonrisa-egolatra-sanchez-manda-volando-psiquiatrico.shtml</t>
  </si>
  <si>
    <t>Nature lover. Incurable music, yoga &amp; transcendental meditation nerd. Republican.</t>
  </si>
  <si>
    <t>PacoCastañares</t>
  </si>
  <si>
    <t>La Comisión Europea debilita la posición del Gobierno de Pedro Sánchez con sus objeciones a la propuesta presupuestaria  vía @el_pais</t>
  </si>
  <si>
    <t>https://elpais.com/elpais/2018/11/21/opinion/1542824675_536104.html?id_externo_rsoc=TW_CC</t>
  </si>
  <si>
    <t>Caceres. Extremadura. España</t>
  </si>
  <si>
    <t>INSTAGRAM: https://Instagram.com/pacocastanares/ FACEBOOK: https://www.facebook.com/PacoCastanares?ref=bookmarks</t>
  </si>
  <si>
    <t>James James #GTTO</t>
  </si>
  <si>
    <t>Theresa May advierte a Pedro Sánchez de que protegerá la "soberanía británica" de Gibraltar  via @elmundoes</t>
  </si>
  <si>
    <t>London, England</t>
  </si>
  <si>
    <t>Yoda says, the Sun, don't buy, listen to BBC news output - you cannot. Feel the force and the Labour Party you shall join, support Jeremy Corbyn you must, Mmmmm</t>
  </si>
  <si>
    <t>Daniel Castro Cs</t>
  </si>
  <si>
    <t>Sedaví, España</t>
  </si>
  <si>
    <t>No me preocupa el grito de los violentos, de los corruptos, de los deshonestos, de los sin ética. Lo que me preocupa es el silencio de los buenos. (M. L. King)</t>
  </si>
  <si>
    <t>Theresa May advierte a Pedro Sánchez de que protegerá la "soberanía británica" de Gibraltar Theresa May warns Pedro Sánchez that she will protect the "British sovereignty" of Gibraltar #BrexitChaos  via @elmundoes</t>
  </si>
  <si>
    <t>Álvaro Becerra 🇪🇸</t>
  </si>
  <si>
    <t>Esta es la España real, Pedro Sánchez. Sabes que los datos del CIS no son ciertos, por eso no convocas elecciones.</t>
  </si>
  <si>
    <t>pic.twitter.com/EWtixuv99g</t>
  </si>
  <si>
    <t xml:space="preserve">Sevilla - España </t>
  </si>
  <si>
    <t>Liberal, Patriota. Comunicación 2.0 en @PPopular. 💻 Secretario General de NNGG de Alcalá de Gra. Secretario de RRSS de NNGG de Andalucía. ¡Bienvenid@!</t>
  </si>
  <si>
    <t>24 empresas van a hacer negocio con Pedro @SanchezCastejon en la Cuba poscastrista</t>
  </si>
  <si>
    <t>http://ver.20m.es/tzztm1</t>
  </si>
  <si>
    <t>Pedro Sánchez dentro de tres meses:</t>
  </si>
  <si>
    <t>pic.twitter.com/pWG6xzoHIX</t>
  </si>
  <si>
    <t>You miss 100% of the shots you dont take. Lee Harvey Oswald.</t>
  </si>
  <si>
    <t>https://tcaeenciernes.wordpress.com/</t>
  </si>
  <si>
    <t>Juan Gato</t>
  </si>
  <si>
    <t>Pedro Sánchez no tiene ningún apoyo cerrado para la candidatura al Mundial</t>
  </si>
  <si>
    <t>https://iusport.com/art/74769/sanchez-no-tiene-ningun-apoyo-cerrado-para-la-candidatura-al-mundial</t>
  </si>
  <si>
    <t>Periodista de acción y pasión 🇪🇸 ⚽️ COPEando 🎙️Dando guerra en 📺 TDP 'Estudio Estadio' y GolTV 'El Golazo' Corazón Atlético RR.PP Loverevolution</t>
  </si>
  <si>
    <t>ÁngeleS  Rendó🤗🤔</t>
  </si>
  <si>
    <t>Ferreras ya no se esconde y ejerce de jefe de prensa de Sánchez, defendiéndole mientras ataca brutalmente al PP sin venir a cuento  vía @Periodistadigit #CuantoAsco</t>
  </si>
  <si>
    <t>Cuando la sonrisa sea tu única moneda de cambio,volverás a ser un ángel,con alas de libertad. ESPAÑOLA por la gracia de DIOS🇪🇸 y a quién no le guste que l</t>
  </si>
  <si>
    <t>antonio valdez m</t>
  </si>
  <si>
    <t>España: Jefe de gobierno, Pedro Sánchez, viaja a Cuba</t>
  </si>
  <si>
    <t>https://www.aporrea.org/internacionales/n334640.h</t>
  </si>
  <si>
    <t>Pto Ordaz Guayana Venezuela</t>
  </si>
  <si>
    <t>Voy con esta. Por la patria siempre en revolucion</t>
  </si>
  <si>
    <t>Iñigo De Juana</t>
  </si>
  <si>
    <t>María Jesús Montero, ministra de Hacienda, está denunciada por prevaricación en nombramientos irregulares en Andalucía | Noticias última hora Pedro Sánchez</t>
  </si>
  <si>
    <t>https://okdiario.com/espana/2018/06/06/ministra-hacienda-esta-denunciada-prevaricacion-nombramientos-irregulares-andalucia-2390793</t>
  </si>
  <si>
    <t>#Coslada #Madrid #España #Chad</t>
  </si>
  <si>
    <t>#Fotógrafo #farmacéutico #óptico #nutricionista #ComitéEjecutivo @PPCoslada #SecretarioDePeñas. CM de @DyASolidario #365cielos @farmaciatucan7</t>
  </si>
  <si>
    <t>http://www.inigodejuana.es</t>
  </si>
  <si>
    <t>Mateo Villarrubia</t>
  </si>
  <si>
    <t>Que no os quepa ninguna duda: Bruselas, Reino Unido y May pasan olímpicamente del doctor Pedro Sánchez y no lo tiene en cuenta nadie. No pinta nada y no tiene carisma. Apostamos que no mueven ni una coma del acuerdo y se lo traga España? #GibraltarEspañol</t>
  </si>
  <si>
    <t>Linares</t>
  </si>
  <si>
    <t>Cosecha de 1967. Y aquí les presento mis sueños y mis locuras más veniales. El resto es sólo mar...</t>
  </si>
  <si>
    <t>Chuan Sanz</t>
  </si>
  <si>
    <t>Los Presupuestos de Pedro Sánchez nos van a llevar a la ruina. Necesitamos #EleccionesYa o terminaremos peor que con Zapatero. El @PSOE siempre lider en arruinar la economía.  vía @elmundoes</t>
  </si>
  <si>
    <t>Aragonés #YoConPablo #PP</t>
  </si>
  <si>
    <t>Ciudadano Pistoni</t>
  </si>
  <si>
    <t>El liderazgo no es sinónimo de dominación, sino el arte de convencer a la gente de que colabore para alcanzar un objetivo común ( Daniel Goleman ).</t>
  </si>
  <si>
    <t>El nuevo capricho de Pedro Sánchez: coger el helicóptero desde Moncloa hasta la base de Torrejón, con un coste público por viaje de 5.000 euros</t>
  </si>
  <si>
    <t>http://bit.ly/2DPMNpS</t>
  </si>
  <si>
    <t>Falange Auténtica</t>
  </si>
  <si>
    <t>Y Pedro Sánchez debería advertir a la Premier May, que el Gobierno de España hará todo lo posible para recuperar la soberanía española sobre nuestro territorio de Gibraltar. Es una cuestión de dignidad nacional</t>
  </si>
  <si>
    <t>Falange Auténtica (FA) es el patriotismo democrático y social. #proyecto #personas #participación 🇪🇸</t>
  </si>
  <si>
    <t>http://www.falange-autentica.es</t>
  </si>
  <si>
    <t>José Simón 🇪🇸</t>
  </si>
  <si>
    <t>Si se te ocurre poner una bandera española en tu ventana, terraza o balcón, eres un fascista.</t>
  </si>
  <si>
    <t>http://wp.me/p76pmQ-rw</t>
  </si>
  <si>
    <t>Esplugues de Llobregat</t>
  </si>
  <si>
    <t>Ciudadano rebelde, amante de la libertad incómoda. Escribo lo que pienso. Si te gustan mis artículos, recomiéndalos.</t>
  </si>
  <si>
    <t>http://www.josesimongracia.es</t>
  </si>
  <si>
    <t>PepeJavi</t>
  </si>
  <si>
    <t>Pedro Sánchez quiere desenterrar al dictador de aquí pero se va a Cuba a rendir pleitesía al de allí.</t>
  </si>
  <si>
    <t>El avatar es el espejo del alma...</t>
  </si>
  <si>
    <t>Pedro Sánchez no se olvida de dedicarse a las cosas que de verdad le importan a la gente y viajará a Cuba antes de aprobar por decreto ley la subida del salario mínimo interprofesional. Luego a la vuelta ya si eso.</t>
  </si>
  <si>
    <t>https://pbs.twimg.com/media/DsoslB_X4AALEBw.jpg</t>
  </si>
  <si>
    <t>El globo sonda que envió Pedro Sanchez a los indepen de ir a elecciónes, esta funcionando jeje</t>
  </si>
  <si>
    <t>https://www.elconfidencial.com/espana/cataluna/2018-11-21/erc-pide-pedro-sanchez-evite-elecciones_1658806/?utm_source=facebook&amp;utm_medium=social&amp;utm_campaign=BotoneraWeb</t>
  </si>
  <si>
    <t>Diego Quiles</t>
  </si>
  <si>
    <t>Granada, Spain</t>
  </si>
  <si>
    <t>Tierra soñada</t>
  </si>
  <si>
    <t>forrestal</t>
  </si>
  <si>
    <t>http://www.citizengo.org/hazteoir/166670-no-expolie-por-segunda-vez-archivo-salamanca?tc=tw&amp;tcid=52309547</t>
  </si>
  <si>
    <t>rosendo na ma 🎗</t>
  </si>
  <si>
    <t>https://m.eldiario.es/31f6512a_838226218/</t>
  </si>
  <si>
    <t>dancesinger incansable, music is live y otra cosita referéndum República ya! 🎗️🎗️🎺🎸🎼🏳️‍🌈</t>
  </si>
  <si>
    <t>Caballo de Bolívar</t>
  </si>
  <si>
    <t>En el marco de la visita de Pedro Sánchez a La Habana, la primera de un presidente español en 32 años, ambos países han acordado fijar un marco regular de consultas políticas de alto nivel similar al que Cuba tiene ya con la Unión Europea.</t>
  </si>
  <si>
    <t>http://ow.ly/buf530mICLY</t>
  </si>
  <si>
    <t>Ideal bolivariano</t>
  </si>
  <si>
    <t>https://okdiario.com/espana/2018/11/21/sanchez-mando-coche-oficial-vacio-valladolid-hacer-8-kms-del-aeropuerto-ciudad-3377374#.W_cZhTNP6d0.twitter</t>
  </si>
  <si>
    <t>Moncho Frade</t>
  </si>
  <si>
    <t>Gutiérrez Mellado se enfrentó a tíos con metralleta,Pedro Sànchez no ha tenido huevos ni de defender a un ministro suyo al que escupe un mierda golpista</t>
  </si>
  <si>
    <t>https://pbs.twimg.com/media/DsormogUwAAcMTW.jpg</t>
  </si>
  <si>
    <t>Cádiz, Andalucía</t>
  </si>
  <si>
    <t>Lloraba porque no tenía zapatos hasta que ví a un hombre que no tenía pies</t>
  </si>
  <si>
    <t>Planeta Tierra</t>
  </si>
  <si>
    <t>El viejo colaborador de Pedro Sánchez y alcalde de Alcalá de Henares se sentará en el banquillo tras un sopapo judicial que le obliga a dimitir según los...</t>
  </si>
  <si>
    <t>Conchy Diaz</t>
  </si>
  <si>
    <t>https://okdiario.com/opinion/2018/11/22/indignidad-pedro-sanchez-borrell-3380779#.W_cZGpH_o6w.twitter</t>
  </si>
  <si>
    <t>Almirón 🇪🇺</t>
  </si>
  <si>
    <t>Ernesto lo tiene ya todo listo. Últimos repasos para recibir a Pedro Sánchez en el Palacio de la Revolución.</t>
  </si>
  <si>
    <t>https://pbs.twimg.com/media/DsorKz3U8AAEJr-.jpg</t>
  </si>
  <si>
    <t>Periodista. Redactor político en @abc_es</t>
  </si>
  <si>
    <t>http://www.abc.es/autor/victor-ruiz-de-almiron-lopez-1435/</t>
  </si>
  <si>
    <t>Labicha #Tabarnia #120db</t>
  </si>
  <si>
    <t>🤤🤤🤤😡😠🤬🤬 Pedro Sánchez mandó su coche oficial vacío a Valladolid para hacer los 8 kms del aeropuerto a la ciudad</t>
  </si>
  <si>
    <t>https://okdiario.com/espana/2018/11/21/sanchez-mando-coche-oficial-vacio-valladolid-hacer-8-kms-del-aeropuerto-ciudad-3377374#.W_cYzXcLf8t.twitter</t>
  </si>
  <si>
    <t>entre el más acá y el más allá</t>
  </si>
  <si>
    <t>ACUERDO EN NO ESTAR DEACUERDO.en tratamiento de mi adicción al twitter.YO TE CREO. Ser humano está lleno de contradicciones , te digo una cosa te digo la otra.</t>
  </si>
  <si>
    <t>EL PAÍS América</t>
  </si>
  <si>
    <t>Contamos un continente al mundo y el mundo a un continente. Cuenta oficial de #ELPAÍSAmérica</t>
  </si>
  <si>
    <t>Noticias Cuatro</t>
  </si>
  <si>
    <t>https://pbs.twimg.com/media/DsonIS1WkAAgIVe.jpg</t>
  </si>
  <si>
    <t>Mediaset España</t>
  </si>
  <si>
    <t>La redacción de noticias de @cuatro te cuenta la última hora y todas las novedades del día | http://www.facebook.com/noticiascuatro</t>
  </si>
  <si>
    <t>http://www.cuatro.com/noticias</t>
  </si>
  <si>
    <t>La comisión abierta en el Senado para investigar la tesis del presidente del Gobierno pedirá la comparecencia de Pedro Sánchez, y otras cinco noticias imprescindibles de este jueves</t>
  </si>
  <si>
    <t>http://ver.abc.es/zirj12</t>
  </si>
  <si>
    <t>pic.twitter.com/BrlX7iyUoS</t>
  </si>
  <si>
    <t>Paco</t>
  </si>
  <si>
    <t>Pedro Sánchez ha viajado a Cuba para pedir la exhumación de Fidel Castro.</t>
  </si>
  <si>
    <t>Rockefeller Center</t>
  </si>
  <si>
    <t>En realidad tengo linaje Illuminati, lo que pasa es que aún tengo sentimientos.</t>
  </si>
  <si>
    <t>carmelo santamaria</t>
  </si>
  <si>
    <t>Y por si algo faltaba toca el brexit y el "toro " de Gibraltar con un nacisista amoral Pedro Sanchez que no te importo pactar con proetarras y golpistas ¿ Que se puede esperar de un personaje de esta calaña ?</t>
  </si>
  <si>
    <t>Algeciras, España</t>
  </si>
  <si>
    <t>Español, burgales y orgulloso de nuestra historia</t>
  </si>
  <si>
    <t>A.M.Edwards</t>
  </si>
  <si>
    <t>Otra “victoria” de Pedro Sánchez La UE y Reino Unido ignoran a España y pactan una declaración sobre el Brexit que no menciona a Gibraltar</t>
  </si>
  <si>
    <t>https://www.elindependiente.com/politica/2018/11/22/la-ue-y-reino-unido-ignora-a-espana-y-pactan-una-declaracion-sobre-el-brexit-que-no-menciona-a-gibraltar/</t>
  </si>
  <si>
    <t>Economics,arquitecture,nature. Economía,arquitectura,naturaleza. Rts no significan aprobacion.RTs &amp; likes don't mean endorsement.🇪🇸🇬🇧🇫🇷🇮🇱</t>
  </si>
  <si>
    <t>tyson</t>
  </si>
  <si>
    <t>Theresa May advierte a Pedro Sánchez de que protegerá la "soberanía británica" de Gibraltar  vía @elmundoes España es un país miembro de la UE el reino unido no lo será si atacan España están atacando a los 27</t>
  </si>
  <si>
    <t>Castellón de la Plana, España</t>
  </si>
  <si>
    <t>Video: Morales: Visita de Pedro Sánchez a Cuba es importante para Cuba  #España</t>
  </si>
  <si>
    <t>http://bit.ly/2OYPLJV</t>
  </si>
  <si>
    <t>ISpinola</t>
  </si>
  <si>
    <t>El doble rasero de este tipo, y los de sus socios, es su mayor cualidad. Diría que la única. Que sí, que ya sé que has ido a vender @sanchezcastejon ajá... Pedro Sánchez inicia una visita a Cuba sin citas con la disidencia  vía @elpais_espana</t>
  </si>
  <si>
    <t>La vida es corta, ¡no te olvides de vivirla! #PuxaAsturias #PuxaSporting. #StopMaltrato animal y de cualquier clase.</t>
  </si>
  <si>
    <t>Gibraltar saltó a la escena del Brexit y con un protagonismo que no ha tenido hasta...</t>
  </si>
  <si>
    <t>https://www.elindependiente.com/politica/2018/11/22/may-soberania-britanica-gibraltar-absolutamente-clara-pedro-sanchez/?utm_source=share_buttons&amp;utm_medium=facebook&amp;utm_campaign=social_share</t>
  </si>
  <si>
    <t>http://elperiodi.co/ekodo1</t>
  </si>
  <si>
    <t>Lori Diaz</t>
  </si>
  <si>
    <t>Pedro Sanchez, estrechar la mano de tiranos no es recomendable! @pedrosanchez</t>
  </si>
  <si>
    <t>https://amp.elmundo.es/espana/2018/11/21/5bf5ab23e2704ea02f8b4581.html?__twitter_impression=true</t>
  </si>
  <si>
    <t>La libertad de Cuba, mi inspiracion! Miembro Partido Por La Democracia Pedro Luis Boitel</t>
  </si>
  <si>
    <t>http://porunacubaendemocracia.blogspot.com/</t>
  </si>
  <si>
    <t>Silvia Sanz</t>
  </si>
  <si>
    <t>El asalto al Cuartel Moncada tuvo como precedente el golpe de Estado del 10 de marzo de 1952 y el triunfo de Fidel Castro. El asalto a La Moncloa tuvo como precedente el golpe de Estado del 1 de octubre de 2017 y el triunfo de Pedro Sánchez.</t>
  </si>
  <si>
    <t>Periodista. Licenciada en Ciencias de la Información. Editora de contenidos.</t>
  </si>
  <si>
    <t>nicolás  sabana</t>
  </si>
  <si>
    <t>Pedro Sánchez se cree que es “Lazarillo de Tormes” y la ciudadanía “el ciego”. #ElIntermedio</t>
  </si>
  <si>
    <t>Valencia,España</t>
  </si>
  <si>
    <t>Vivir es increíble'.</t>
  </si>
  <si>
    <t>http://m.facebook.com/nicolas.sabanabiloko</t>
  </si>
  <si>
    <t>La Janda Digital</t>
  </si>
  <si>
    <t>Periódico digital de la Comarca de La Janda</t>
  </si>
  <si>
    <t>http://jaimeperezmateo.wordpress.com</t>
  </si>
  <si>
    <t>Hoy Pedro Sánchez visita Cuba. Afortunadamente no se va a rebajar encontrándose con los opositores predilectos de la extrema derecha cubano-americana.</t>
  </si>
  <si>
    <t>Comd. Banana</t>
  </si>
  <si>
    <t>Ya que el Presidente del Gobierno español va a Cuba y solo se reúne con los dictadores, digo yo que aprovechando el viaje, podría ir también Pedro Sánchez y reunirse con la oposición democrática.</t>
  </si>
  <si>
    <t>Tiene gracia, la mayoría de los que han mirado aquí, buscaban algo para descalificarme. Los muy inútiles no encontraban argumentos sobre el tema en cuestión.</t>
  </si>
  <si>
    <t>Diario Minuto</t>
  </si>
  <si>
    <t>Pedro Sanchez ora respetuoso ante la tumba de Mohamed VI en Marruecos. Pedro Sànchez visita Cuba sin acercarse ni un poquito a la oposición. Pedro Sànchez asegura estar en contra de las dictaduras.</t>
  </si>
  <si>
    <t>https://pbs.twimg.com/media/DsoowemXoAUYP0W.jpg</t>
  </si>
  <si>
    <t>Periodismo de investigación. Existen posibilidades de que todo parecido con la realidad pueda ser cierto.</t>
  </si>
  <si>
    <t>http://www.diariominuto.com/</t>
  </si>
  <si>
    <t>Onda Bailen</t>
  </si>
  <si>
    <t>La Junta felicita a Pedro Sánchez (Bagá), exalumno de “La Laguna”, por su estrella Michelin, la primera de la provincia</t>
  </si>
  <si>
    <t>https://ondabailen.es/2018/11/22/la-junta-felicita-a-pedro-sanchez-baga-exalumno-de-la-laguna-por-su-estrella-michelin-la-primera-de-la-provincia/</t>
  </si>
  <si>
    <t>https://pbs.twimg.com/media/DsoolJkUwAAb9hT.jpg</t>
  </si>
  <si>
    <t>El Intermedio</t>
  </si>
  <si>
    <t>🔴 Pedro Sánchez está a punto de llegar a Cuba. @DaniMateoAgain repasa las visitas a este país de otros de nuestros presidentes del Gobierno  #elintermedio</t>
  </si>
  <si>
    <t>http://atres.red/4ncii</t>
  </si>
  <si>
    <t>https://pbs.twimg.com/media/DsooeX5VAAAfMZR.jpg</t>
  </si>
  <si>
    <t>Ya conocen las noticias, ahora les contaremos la verdad... De L-J a las 21:30h, en @laSextaTV. Wyoming @sandrasabates11 Thais Villas @a_lo_gonzo @DaniMateoAgain</t>
  </si>
  <si>
    <t>http://www.lasexta.com/elintermedio</t>
  </si>
  <si>
    <t>Prensa fresca</t>
  </si>
  <si>
    <t>Pedro Sánchez llega este jueves a Cuba para rendir pleitesía al régimen castrista</t>
  </si>
  <si>
    <t>https://T.co/2DTGaC8VLv</t>
  </si>
  <si>
    <t>Las noticias más comentadas en Twitter según los medios más enlazados. Información continua y actualizada</t>
  </si>
  <si>
    <t>Andy #DM 👊 💪 #SoyAndrés</t>
  </si>
  <si>
    <t>#Tropisocialismo. Pedro Sánchez está apunto de llegar a Cuba. ¿Te acordás cómo se la pasó #FelipeGonzález cuando fue? Buscalo en el #Tropicana 👉😆.</t>
  </si>
  <si>
    <t>https://pbs.twimg.com/media/DsonDfNXoAACrZU.jpg</t>
  </si>
  <si>
    <t>El Tiempo depende del movimiento</t>
  </si>
  <si>
    <t>Ésto es una #Guerra. #Ellos nunca se fueron, se reprodujeron, gobernaron, mataron, robaron, e idearon la manera para ser las #víctimas. 👇#LaPatriaEstáEnPeligro</t>
  </si>
  <si>
    <t>Francisco Rubiales</t>
  </si>
  <si>
    <t>Europa traiciona a España y la deja fuera de la negociación sobre Gibraltar. Pedro Sánchez debe demostrar que tiene huevos y dignidad. Si cede, Gibraltar será su tumba, pero si doblega a los piratas británicos y a los corruptos de Bruselas, ganará las próximas elecciones.</t>
  </si>
  <si>
    <t>Sevilla (Spain)</t>
  </si>
  <si>
    <t>Doctor en Periodismo, empresario, escritor, profesor universitario, conferenciante y bloguero que lucha por la regeneración y por una democracia real.</t>
  </si>
  <si>
    <t>http://www.votoenblanco.com</t>
  </si>
  <si>
    <t>#España rechazará el brexit si no hay cambios sobre Gibraltar, anunció Pedro Sánchez</t>
  </si>
  <si>
    <t>Dr Paul Hewson</t>
  </si>
  <si>
    <t>Exeter, England</t>
  </si>
  <si>
    <t>Senior Data Scientist employed by a company trying to make cities work. Me gusta la musica en española. I also like kayaking</t>
  </si>
  <si>
    <t>https://about.me/paulhewson</t>
  </si>
  <si>
    <t>Joven Club Mayabeque</t>
  </si>
  <si>
    <t>Mayabeque</t>
  </si>
  <si>
    <t>Los Joven Club constituyen una red de centros tecnológicos que surgen por iniciativa del Comandante Fidel Castro Ruz el 8 de septiembre de 1987.</t>
  </si>
  <si>
    <t>http://www.myb.jovenclub.cu</t>
  </si>
  <si>
    <t>🔴 @sandrasabates11: "La actualidad en torno al Gobierno de Pedro Sánchez pasa por 3 puntos distintos del mapa : Cuba, Reino Unido y Bruselas  #elintermedio</t>
  </si>
  <si>
    <t>https://pbs.twimg.com/media/DsonF4sU4AAcE47.jpg</t>
  </si>
  <si>
    <t>jorge héctor santos</t>
  </si>
  <si>
    <t>Encuentro aparte durante la Cumbre del G20. Macri y Theresa May (Reino Unido) se reunirán el viernes 30 por la tarde. Será después de la bilateral de Macri con el presidente del gobierno español, Pedro Sánchez.</t>
  </si>
  <si>
    <t>https://pbs.twimg.com/media/DsonA69U4AAeVaO.jpg</t>
  </si>
  <si>
    <t>Periodista. Ex director Mitre, La 100, Top 40, Rivadavia, Belgrano, Latina,Universo. Urgente 24, La N Pcia, Semanario Miami, Grupo Prisa, Contador Público.</t>
  </si>
  <si>
    <t>Sergio Nonito</t>
  </si>
  <si>
    <t>Lo de Pedro Sánchez con el Falcón y el Helicóptero supera ampliamente el perfil de ZP en su época de presidente...Lo que nos queda aún por ver dejará el listón muy alto para el siguiente.</t>
  </si>
  <si>
    <t>Pedro Sánchez exige disculpas a Pablo Casado porque ERC escupa a Borell -  #GoogleAlerts</t>
  </si>
  <si>
    <t>http://goo.gl/alerts/uUUNZ</t>
  </si>
  <si>
    <t>https://www.esdiario.com/127295824/Casado-revela-que-Sanchez-filtro-el-nombre-de-Marchena-y-duda-de-que-el-Whatsapp.html</t>
  </si>
  <si>
    <t>TRASLAMATA 🦉</t>
  </si>
  <si>
    <t>http://www.citizengo.org/hazteoir/166670-no-expolie-por-segunda-vez-archivo-salamanca?tc=tw&amp;tcid=52309209</t>
  </si>
  <si>
    <t>Palma de Mallorca, Baleares -ESPAÑA-</t>
  </si>
  <si>
    <t>Alfonso Ussía ya no sabe cómo decirle a Pedro Sánchez que su lugar no es el Palacio de La Moncloa, sino una...</t>
  </si>
  <si>
    <t>https://www.periodistadigital.com/periodismo/prensa/2018/11/22/alfonso-ussia-borra-sonrisa-egolatra-sanchez-manda-volando-psiquiatrico.shtml#.W_cTMwZSN28.facebook</t>
  </si>
  <si>
    <t>Esto es Vallekas</t>
  </si>
  <si>
    <t>El presidente del Gobierno, Pedro Sánchez, y el de la Comunidad de Madrid, Ángel Garrido, han dado este jueves un paso clave para desbloquear la construcción de dos alternativas en las...</t>
  </si>
  <si>
    <t>https://elpais.com/ccaa/2018/11/22/madrid/1542874097_264997.html?id_externo_rsoc=FB_CM_MAD</t>
  </si>
  <si>
    <t>Casco Histórico de Vallecas</t>
  </si>
  <si>
    <t>https://estoesvallekas.wixsite.com/anuncios</t>
  </si>
  <si>
    <t>Sr. Pedro Sánchez: ¿Por qué quiere que Gibraltar continúe siendo una colonia de GB en Europa e impide que los 27 país apoyen a España y erradiquen este paraíso fiscal ? ¿que le ha dado Soros para defender el estatus de paraíso fiscal? ¿a quién quiere engañar con su veto?</t>
  </si>
  <si>
    <t>_Marlow_</t>
  </si>
  <si>
    <t>https://okdiario.com/opinion/2018/11/22/indignidad-pedro-sanchez-borrell-3380779#.W_cTGqZePeo.twitter</t>
  </si>
  <si>
    <t>No hay que temer mas que al propio temor y al protegernos de lo imposible hacemos que lo impensable alcance a ser lo imaginable..</t>
  </si>
  <si>
    <t>Kramer I de Tabarnia🔱</t>
  </si>
  <si>
    <t>http://www.citizengo.org/hazteoir/166670-no-expolie-por-segunda-vez-archivo-salamanca?tc=tw&amp;tcid=52309150</t>
  </si>
  <si>
    <t>Catalán, Español, Europeo y del Espanyol. Fato, Charnego,Tabarnés y liberal por libre. Malleus Maleficarum-El Martillo De Los Progres. TABARNIA IS NOT TRACTORIA</t>
  </si>
  <si>
    <t>Cuba: Pedro Sánchez entregará en La Habana la silla del General ....</t>
  </si>
  <si>
    <t>http://bit.ly/2AatvqQ</t>
  </si>
  <si>
    <t>🇪🇸➕TEMPLE➕🇪🇸</t>
  </si>
  <si>
    <t>Última hora!!!! Esto es lo mas cerca que estará Pedro Sanchez de mojarse por la situación de los disidentes cubanos..¡¡¡VALIENTE!!! #LaSilenciosaCat #EleccionesYa #DefiendeEspaña #VikingosTeam #NoNegocioConDictaduras @vox_es @ONU_derechos</t>
  </si>
  <si>
    <t>https://pbs.twimg.com/media/DsokqnqW0AE-U-z.jpg</t>
  </si>
  <si>
    <t>CORONA DE ARAGÓN</t>
  </si>
  <si>
    <t>AMO MI PATRIA NO COMULGO CON POLÍTICOS TEMPLARIO HASTA LA MUERTE ,SOY MADRIDISTA GRACIAS A MI PADRE SIEMPRE #templarios #laorden #lasilenciosacat</t>
  </si>
  <si>
    <t>Luis Aneiros</t>
  </si>
  <si>
    <t>Militante de la lógica ciudadana y amigo del castellano que se puede leer sin traductor. Escribo en @nuevarevoluci0n</t>
  </si>
  <si>
    <t>http://nuevarevolucion.es/articulos/luis-aneiros/</t>
  </si>
  <si>
    <t>¿Es oportuno el viaje de Pedro Sánchez a Cuba?</t>
  </si>
  <si>
    <t>http://bit.ly/2FAAf7r</t>
  </si>
  <si>
    <t>GRAAN IN ASS EN ONAFHANKLIKE</t>
  </si>
  <si>
    <t>TABARNIA</t>
  </si>
  <si>
    <t>Las leyes se pueden cambiar.Pero si no las respetas,no esperes que te respete yo a ti.</t>
  </si>
  <si>
    <t>España critica el cambio con “nocturnidad y alevosía” del acuerdo del Brexit sobre Gibraltar - Pedro Sánchez, deja de viajar y atiende tu casa</t>
  </si>
  <si>
    <t>Pedro Sánchez viajará a Cuba y pedirá que se exhume al dictador Fidel Castro y se prohiba hacerle homenajes. Vamos, digo yo.</t>
  </si>
  <si>
    <t>https://twitter.com/numer344/status/1065391592184389637</t>
  </si>
  <si>
    <t>Theresa May advierte a Pedro Sánchez de que protegerá la "soberanía británica" de Gibraltar. Cerrar la valla. Y dar trabajo en La Línea  vía @elmundoes</t>
  </si>
  <si>
    <t>Claudio el espetaó</t>
  </si>
  <si>
    <t>Esta señora defiendo su país ,Pedro Sánchez lo vende RT @ramoncotarelo: ¡Venga, Borrell, a conquistar el peñón por Dios y por España! ¡Venga, mozo! Mandad allí los valientes piolines y los audaces picoletos. Id en manada, como soléis.</t>
  </si>
  <si>
    <t>https://twitter.com/ramoncotarelo/status/1065640371710029825
https://twitter.com/caval100/status/1065639388678406144</t>
  </si>
  <si>
    <t>Hola mi nombre es Claudio, jubilado, 5 hijos, 8 nietos, 80 años de regimen y tieso como la mojama, escribo muy má.</t>
  </si>
  <si>
    <t>Diego Fernández de Herrera</t>
  </si>
  <si>
    <t>Vergüenza de los socios de Pedro Sánchez, y más vergüenza del propio Sánchez... RT @el_pais: Vídeo | Así ha sido la escena completa en la que Rufián, que ha acabado expulsado, ha llamado "hooligan" a Borrell. En el minuto cinco está el escupitajo que ha denunciado el ministro</t>
  </si>
  <si>
    <t>https://twitter.com/el_pais/status/1065168101342359552
http://bit.ly/2FLtMa7</t>
  </si>
  <si>
    <t>pic.twitter.com/E1szG71ueb</t>
  </si>
  <si>
    <t>Qué habremos hecho tan mal para que El Rinoceronte de Ionesco esté tan de actualidad en la España del siglo XXI...</t>
  </si>
  <si>
    <t>Tecnología del botijo</t>
  </si>
  <si>
    <t>—Hola, soy Pedro Sánchez. Venía a exigirles lo de Gilbraltar porque como Presidente de España que soy no voy a acept…</t>
  </si>
  <si>
    <t>pic.twitter.com/C6ydik4AC5</t>
  </si>
  <si>
    <t>Botija, España</t>
  </si>
  <si>
    <t>Enjoy Botijo®. Antiplagiers. Parodia. Agua y barro.</t>
  </si>
  <si>
    <t>https://www.facebook.com/TecnologiaDelBotijo</t>
  </si>
  <si>
    <t>marga vidal</t>
  </si>
  <si>
    <t>OPINIÓN | Cómo y por qué Pedro Sánchez ha estropeado su experimento, por Carlos Elordi  vía @eldiarioes</t>
  </si>
  <si>
    <t>https://www.eldiario.es/_31f6512a</t>
  </si>
  <si>
    <t>traductora, profe de alemán</t>
  </si>
  <si>
    <t>http://about.me/margavidal</t>
  </si>
  <si>
    <t>Pablo C.</t>
  </si>
  <si>
    <t>Resumen @A3Noticias: Pedro Sánchez todo mal.</t>
  </si>
  <si>
    <t>Comunicación | Xornalismo</t>
  </si>
  <si>
    <t>Javier SRL 😷</t>
  </si>
  <si>
    <t>Este Gobierno que se arrastra frente a los catanazis golpistas, terroristas, antisistema (Pedro Sánchez lo llama empatía, me descojono) se mantendrá firme en el tema de Gibraltar? Lo veremos.</t>
  </si>
  <si>
    <t>Libros, Películas y series, Música, New York. Real Madrid 🏆 y Cultural Leonesa (objetivo ascenso 💪). Lazo amarillo en perfil igual a bloqueo.</t>
  </si>
  <si>
    <t>Lord Akkarin</t>
  </si>
  <si>
    <t>Pedro Sanchez exige a Borrell que se disculpe ante ERC</t>
  </si>
  <si>
    <t>La complejidad es tu enemigo. Cualquier tonto puede hacer algo complejo. Lo complicado es hacer algo simple.</t>
  </si>
  <si>
    <t>Indignado.de.la.vara</t>
  </si>
  <si>
    <t>Nuestro "querid" #Presidente del Gobierno #Pedro #Sánchez del #PSOE, vota en contra (junto a #Podemos) de que los #autónomos no paguen la #subida del #impuesto al #diesel #dieseldazo, mientras él viaja en avión y helicóptero (que deben ser eléctricos).</t>
  </si>
  <si>
    <t>Que tiemblen todos aquellos que cometan injusticias.</t>
  </si>
  <si>
    <t>VICENTE RAMIREZ</t>
  </si>
  <si>
    <t>RADIO CORAZÓN VALENCIA "NOTICIAS": La indignidad de Pedro Sánchez con Borrell</t>
  </si>
  <si>
    <t>https://radiocorazonvalencianoticias.blogspot.com/2018/11/la-indignidad-de-pedro-sanchez-con.html?spref=tw</t>
  </si>
  <si>
    <t>http://radiocorazondigital.blogspot.com.es/</t>
  </si>
  <si>
    <t>https://twitter.com/europapress/status/1065197352049356801
https://bit.ly/2Aa6iVP</t>
  </si>
  <si>
    <t>https://pbs.twimg.com/media/DshXSyYW0AAjGQW.jpg</t>
  </si>
  <si>
    <t>Pedro Sánchez ya empieza a pagar el sillón de la Moncloa ,una ministra marcada y pronto un ministro ,el se creía Q le saldría gratis los independentistas no tienen amigos ,son burgueses con ansias de poder lo mismo Q Pedro Sánchez son tal cual</t>
  </si>
  <si>
    <t>La situación incierta de Gibraltar en el acuerdo de May para el ‘Brexit’ “, “debilita la capacidad” de España, según Pedro Sánchez</t>
  </si>
  <si>
    <t>https://v24news.com/2018/11/la-situacin-incierta-de-gibraltar-en-el-acuerdo-de-may-para-el-brexit-debilita-la-capacidad-de-espaa-segn-pedro-snchez/</t>
  </si>
  <si>
    <t>https://pbs.twimg.com/media/Dsoh_AIU0AUx7VQ.jpg</t>
  </si>
  <si>
    <t>LCR</t>
  </si>
  <si>
    <t>a pedro sanchez se le conoce como el Inserso""de la cantidad de viajes que hace .............</t>
  </si>
  <si>
    <t>Demócrata mi lucha por la libertad nunca http://cejara.Soy Español de Verdad y respeto La libertad estaré donde se luche por LA DEMOCRACIA LIBERTAD y la Republica✊✊✊</t>
  </si>
  <si>
    <t>José Calama</t>
  </si>
  <si>
    <t>Pedro Sánchez va a Cuba en avión oficial en lugar de ir en hidropedal desde Huelva. Y de esto no habla nadie. ¡Menudo derrochador!</t>
  </si>
  <si>
    <t>Apasionado del ahorro y eficiencia energética, deportista.</t>
  </si>
  <si>
    <t>jesús merchán</t>
  </si>
  <si>
    <t>https://okdiario.com/opinion/2018/11/22/indignidad-pedro-sanchez-borrell-3380779#.W_cPYCYmLBo.twitter</t>
  </si>
  <si>
    <t>salamanca</t>
  </si>
  <si>
    <t>Contador de tiempo</t>
  </si>
  <si>
    <t>Juan García García</t>
  </si>
  <si>
    <t>Miguel Ángel B</t>
  </si>
  <si>
    <t>Pedro Sánchez de viaje a Cuba, mientras un asunto fundamental como Gibraltar se cierra. No me imagino a May de viaje en Australia en plena negociación. Esperemos no perder algo que llevamos cientos de años peleando.</t>
  </si>
  <si>
    <t>ANTiKoy</t>
  </si>
  <si>
    <t>Pedro Sánchez de viaje oficial en la HAVANAAAAAAAA UH NA NAAAAAAA</t>
  </si>
  <si>
    <t>Madriz</t>
  </si>
  <si>
    <t>lvl. 25 - Gaymer, try harder boy</t>
  </si>
  <si>
    <t>http://www.instagram.com/rubiikoy</t>
  </si>
  <si>
    <t>https://okdiario.com/opinion/2018/11/22/indignidad-pedro-sanchez-borrell-3380779?utm_term=Autofeed&amp;utm_campaign=ok&amp;utm_medium=Social&amp;utm_source=Twitter#Echobox=1542917381</t>
  </si>
  <si>
    <t>No soy facha, soy español</t>
  </si>
  <si>
    <t>A ver si Pedro Sanchez se digna a intemediar por los padres encarcelados de esta niña- RT @cristiancrespoj: Su nombre es Mirdanni Matos Gainza, una niña cubana, que a sus cortos 14años ya hace huelga de hambre para apoyar la liberación de sus padres, presos políticos, y que también están en huelga de hambre en Guantánamo. La crueldad del grotesco régimen de @DiazCanelB no tiene límites</t>
  </si>
  <si>
    <t>https://twitter.com/cristiancrespoj/status/1065077145075138560</t>
  </si>
  <si>
    <t>https://pbs.twimg.com/media/DsfqAx6XcAMBIoi.jpg</t>
  </si>
  <si>
    <t>Español de pura cepa. Amante de España y de sus gentes.</t>
  </si>
  <si>
    <t>Las Damas de Blanco piden a Pedro Sánchez un encuentro durante su visita a Cuba  vía @diariodecuba</t>
  </si>
  <si>
    <t>Lau♀</t>
  </si>
  <si>
    <t>Ojalá ser Pedro Sánchez para estar en La Habana</t>
  </si>
  <si>
    <t>Minas Morgul</t>
  </si>
  <si>
    <t>🐰 Bióloga, Zoóloga y front-end🌾 Me gustan los seres vivos, los memes y las Drag Queens 👑</t>
  </si>
  <si>
    <t>https://instagram.com/lauravergas/</t>
  </si>
  <si>
    <t>El PNV arranca a Sánchez competencias para Euskadi. El pacto se hará oficial el lunes en Bilbao en la comisión de transferencias y contará con Batet</t>
  </si>
  <si>
    <t>http://elperiodi.co/ucoat1</t>
  </si>
  <si>
    <t>El #PSOE de Pedro Sánchez con #Podemos votan a favor de que los #autónomos paguen la subida del #carburante. El Congreso rechaza que los autónomos se libren del impuesto al diesel  vía @diarioAyE</t>
  </si>
  <si>
    <t>https://www.autonomosyemprendedor.es/articulo/actualidad/congreso-vota-hoy-excluye-todos-autonomos-impuesto-diesel/20181119151604018184.html</t>
  </si>
  <si>
    <t>Jesús Arce</t>
  </si>
  <si>
    <t>Nacido para no aceptar las cosas tal como nos dicen que son. No estoy de acuerdo ni conmigo mismo.</t>
  </si>
  <si>
    <t>Sara Elvira Ibarz So</t>
  </si>
  <si>
    <t>javipeye</t>
  </si>
  <si>
    <t>Pues estos son los que nos gobiernan, pero no es de ahora, que ya he visto yo a Aznar ceder competencias como el tráfico por ejemplo para gobernar, que Pedro Sanchez es idiota peronha tenido predecesores. RT @matthewbennett: Con un umbral del 3% para entrar en el Congreso, quedarían fuera: - Compromís - Esquerra - CDC/PDeCat - En Marea - PNV - Bildu - Coalición Canaria</t>
  </si>
  <si>
    <t>https://twitter.com/matthewbennett/status/1065629058745229313</t>
  </si>
  <si>
    <t>https://pbs.twimg.com/media/DsnfszEX4AIhIUu.jpg</t>
  </si>
  <si>
    <t>Vamos pa arriba</t>
  </si>
  <si>
    <t>...hay otros annapurnas en la vida de los hombres</t>
  </si>
  <si>
    <t>Exiliados de Extremoduro</t>
  </si>
  <si>
    <t>Extremadura, ESPAÑA</t>
  </si>
  <si>
    <t>http://exiliadosdeextremo.blogspot.com.es/ http://exiliadosdeextremodu.foroactivos.net/</t>
  </si>
  <si>
    <t>https://www.facebook.com/exiliados.extremoduro</t>
  </si>
  <si>
    <t>CONCISION</t>
  </si>
  <si>
    <t>REALMENTE el que Pedro Sánchez vaya a Cuba a LAMERLE EL CULO A CASTRO, es REBAJARSE. También es IR CONTRA LA OPOSICION y APLAUDIR A CASTRO. Que NO me digan que Pedro Sánchez defiende los DERECHOS HUMANOS. Lo que defiende él son los DERECHOS INHUMANOS. @sanchezcastejon</t>
  </si>
  <si>
    <t>ESPAÑA, Spain - EUROPE</t>
  </si>
  <si>
    <t>LIBERTAD FRENTE A LAS DICTADURAS-Derechos Humanos. DERECHA DEMOCRATICA</t>
  </si>
  <si>
    <t>Núria Garrigós Perís</t>
  </si>
  <si>
    <t>según la situación geopolítica</t>
  </si>
  <si>
    <t>Scientia et indagatio...(Jefa de estudios de ESCUELA INTERNACIONAL DE CRIMINOLOGIA )- cuenta personal</t>
  </si>
  <si>
    <t>Periódico Venceremos</t>
  </si>
  <si>
    <t>Pedro Sánchez Pérez- Castejón, presidente del Gobierno del Reino de España llegará hoy a Cuba en horas de la tarde para cumplimentar una...</t>
  </si>
  <si>
    <t>http://www.venceremos.cu/guantanamo-cuba-noticias-nacionales/15579-llegara-hoy-a-cuba-pedro-sanchez-presidente-del-gobierno-de-espana</t>
  </si>
  <si>
    <t>Periódico de la provincia de Guantánamo, Cuba. Publicación fundada el 25 de julio de 1962. Síganos en Facebook, Google +, You Tube y Flicker.</t>
  </si>
  <si>
    <t>http://www.venceremos.cu</t>
  </si>
  <si>
    <t>QUÉ.es</t>
  </si>
  <si>
    <t>🗣 El lapsus de Pedro Sánchez: "Las elecciones las haré cuando crea que son beneficiosas para los intereses generales del part... país"</t>
  </si>
  <si>
    <t>https://www.que.es/ultimas-noticias/el-lapsus-de-pedro-sanchez-las-elecciones-las-hare-cuando-crea-que-son-beneficiosas-para-los-intereses-generales-del-part-pais.html</t>
  </si>
  <si>
    <t>https://pbs.twimg.com/media/DsogstHU8AAeqI2.jpg</t>
  </si>
  <si>
    <t>🌍 Cuenta oficial del Diario QUÉ. Escúchanos en @Que_Radio y visítanos en Facebook https://www.facebook.com/Que.es</t>
  </si>
  <si>
    <t>http://www.que.es</t>
  </si>
  <si>
    <t>#Gobernabilidad | El presidente de #España Pedro Sánchez inicia su visita oficial a #Cuba</t>
  </si>
  <si>
    <t>≡</t>
  </si>
  <si>
    <t>Pedro Sánchez sobre un caballo blanco por el horizonte al atarcecer llegando a Gibraltar y plantando la bandera española en lo alto del peñón RT @mayshit_: pide un deseo que te lo cumplo</t>
  </si>
  <si>
    <t>https://twitter.com/mayshit_/status/1065680641432408064</t>
  </si>
  <si>
    <t>https://pbs.twimg.com/media/DsoO3cRXoAA-5UA.jpg</t>
  </si>
  <si>
    <t>Estadio Metropolitano</t>
  </si>
  <si>
    <t>A veces salgo de casa.</t>
  </si>
  <si>
    <t>Niporwifi ©</t>
  </si>
  <si>
    <t>Este año han matado aquí clanes marroquíes de hachís, de la Línea, clanes exyugoslavos, holandeses y franceses. Los asesinatos son la punta del iceberg del crimen organizado. Pedro Sánchez viene a Marbella el 27 y 🤐</t>
  </si>
  <si>
    <t>https://sevilla.abc.es/andalucia/malaga/sevi-mitad-asesinatos-costa-ajustes-cuentas-201811220722_noticia.html</t>
  </si>
  <si>
    <t>Si no soy lo que buscas, lo encontrarás en un chino.</t>
  </si>
  <si>
    <t>Monkytu 🍁🍂🍄</t>
  </si>
  <si>
    <t>Pedro Sanchez estaba tan preocupado haciendose su ruta de viajitos que “no ha tenido tiempo” de estudiar lo de #Gibraltar... #tienecojones</t>
  </si>
  <si>
    <t>Live simply, Dream Big, Be Grateful, Give love, Laugh Lots... Soy feliz y muy normal. No bloqueo, pero silencio que da gusto</t>
  </si>
  <si>
    <t>justo navarro</t>
  </si>
  <si>
    <t>Y ahora se queja el gilipollas del presidente Pedro Sánchez renuncia a la cosoberanía de Gibraltar en el acuerdo del Brexit</t>
  </si>
  <si>
    <t>https://okdiario-com.cdn.ampproject.org/v/s/okdiario.com/espana/2018/11/15/sanchez-renuncia-cosoberania-gibraltar-acuerdo-del-brexit-3351904/amp?amp_js_v=0.1&amp;usqp=mq331AQJCAEoAVgBgAEB#origin=https%3A%2F%2Fwww.google.com&amp;prerenderSize=1&amp;visibilityState=visible&amp;paddingTop=54&amp;p2r=0&amp;horizontalScrolling=0&amp;csi=1&amp;aoh=15429174514693&amp;viewerUrl=https%3A%2F%2Fwww.google.com%2Famp%2Fs%2Fokdiario.com%2Fespana%2F2018%2F11%2F15%2Fsanchez-renuncia-cosoberania-gibraltar-acuerdo-del-brexit-3351904%2Famp&amp;history=1&amp;storage=1&amp;cid=1&amp;cap=swipe%2CnavigateTo%2Ccid%2Cfragment%2CreplaceUrl</t>
  </si>
  <si>
    <t>SEVILLA</t>
  </si>
  <si>
    <t>@comoeestaelpais</t>
  </si>
  <si>
    <t>Donde esta Pedro Sanchez?? De viaje verdad, perderemos como de costumbre #Gibraltar</t>
  </si>
  <si>
    <t>Antonio Bernabé</t>
  </si>
  <si>
    <t>👉 EL AUTOPISTAZO va a ser el nuevo cobro inventado por los LUMBRERAS RECAUDADORES del gobierno "rehén" de Pedro Sánchez. 👉 Autopistas amortizadas volverán a tener peaje ▪️dentro video 🎥</t>
  </si>
  <si>
    <t>https://www.facebook.com/100000636045769/posts/2198481133516400/</t>
  </si>
  <si>
    <t>Alcalde de Benejúzar ~ Presidente Comité de Alcaldes ~ @alicantepp</t>
  </si>
  <si>
    <t>http://antoniobernabe.net</t>
  </si>
  <si>
    <t>J.E.M</t>
  </si>
  <si>
    <t>Pedro sanchez va a Cuba a reunirse con la élite del narcotráfico que financia la destrucción de España, a través de él y de pablenin</t>
  </si>
  <si>
    <t>Yo soy yo y mis circunstancias.Si te gusta lo que pienso, bien, y si no, también. No trato de agradar. Padre. Cocinillas. no me sigas para que te siga</t>
  </si>
  <si>
    <t>Lanzarote</t>
  </si>
  <si>
    <t>trabajador de la construccion, Catolico practicante, Malaguista de corazon, me gusta el cine,musica clasica y la historia.</t>
  </si>
  <si>
    <t>Pedro Sánchez y la silla de Maceo: el héroe cubano cuyo asesinato puso al mundo en contra de España  vía @ABC_Historia</t>
  </si>
  <si>
    <t>https://www.abc.es/historia/abci-pedro-sanchez-y-silla-maceo-heroe-cubano-cuyo-asesinato-puso-mundo-contra-espana-201811210237_noticia.html#ns_campaign=amp-rrss-inducido&amp;ns_mchannel=abc-es&amp;ns_source=tw&amp;ns_linkname=noticia.foto&amp;ns_fee=0</t>
  </si>
  <si>
    <t>leonmanuel1000audio</t>
  </si>
  <si>
    <t>https://www.youtube.com/user/manuelleonaudiolibro/about</t>
  </si>
  <si>
    <t>Pedro Sánchez inicia la primera visita de un líder europeo al dictador cubano Díaz-Canel</t>
  </si>
  <si>
    <t>https://okdiario.com/espana/2018/11/22/sanchez-inicia-primera-visita-lider-europeo-dictador-cubano-diaz-canel-3380653</t>
  </si>
  <si>
    <t>veis como pedro Sanchez es un anormal ??como esta el patio ""y ahora nos ponemos a exigir la soberania de Gibraltar ...veis como es tonto muy tonto !!!!!</t>
  </si>
  <si>
    <t>Mr. Salmón</t>
  </si>
  <si>
    <t>Que Pedro Sánchez no se reúna con la oposición a la dictadura castrista es una puta vergüenza.</t>
  </si>
  <si>
    <t>http://tinyurl.com/y8xlyfnn</t>
  </si>
  <si>
    <t>León, España</t>
  </si>
  <si>
    <t>vdkcskcnMmcx dk dsvdvlc spOcksfe9fu3f wkdUnszd2e82 29e3ehjdRnld sñ,xsc ,cx c,x c wljsmIsc 38+``+`+àsasÑ1223`dlad s'c0qwI'e29e3ur iwShdwjsdnTñ´xsa´A</t>
  </si>
  <si>
    <t>http://ivangsanchez.blogspot.com.es/</t>
  </si>
  <si>
    <t>Gemma Robles</t>
  </si>
  <si>
    <t>El PNV arranca a Sánchez competencias para Euskadi. Mientras unos se entretienen en el espectáculo otros sacan rédito a la política ...@gemma_robles</t>
  </si>
  <si>
    <t>https://elpais.com/internacional/2018/11/22/actualidad/1542891796_421870.html</t>
  </si>
  <si>
    <t>Periodista. Delegada en Madrid de EL PERIÓDICO. Analista de actualidad política en La Sexta, TVE y RNE</t>
  </si>
  <si>
    <t>http://www.elperiodico.com/es/autor/gemma-robles/</t>
  </si>
  <si>
    <t>FEDE JR</t>
  </si>
  <si>
    <t>Los españoles votan, pero los tecnócratas en Bruselas deciden sin estar sometidos a control nacional alguno. La UE sigue ciega ante la que se avecina. Bruselas desmonta punto por punto el Presupuesto de Pedro Sánchez  vía @elmundoes</t>
  </si>
  <si>
    <t>VALENCIA, SPAIN.</t>
  </si>
  <si>
    <t>You can't scare me,I'm lawyer.I love gigs, Valencia CF, the swingin' London,Roma,Spain,Kubrick, W. Allen,The Goodfather,running,red wine,strawberry jam...</t>
  </si>
  <si>
    <t>Luis G. L. Q. ∴</t>
  </si>
  <si>
    <t>Cuba: Pedro Sánchez entregará en La Habana la silla del General independentista Antonio Maceo</t>
  </si>
  <si>
    <t>Valladolid</t>
  </si>
  <si>
    <t>Ciudad Bolívar , Venezuela</t>
  </si>
  <si>
    <t>Avanza hasta la verdad de la certeza, más allá de todo lo que te enseñan los demás, y más allá incluso de tu propio pensamiento que es un obstáculo. Ainiyya</t>
  </si>
  <si>
    <t>🇪🇸🇪🇸Cobagrande 🇪🇸🇪🇸</t>
  </si>
  <si>
    <t>Está viviendo su sueño de millonario pagado por todos nosotros 🤑🤑🤑 Los golpistas nos colocaron a un hortera al frente del gobierno. 😬😬😬 Pedro Sánchez mandó su coche oficial vacío a Valladolid para hacer los 8 kms del aeropuerto a la ciudad</t>
  </si>
  <si>
    <t>https://okdiario.com/espana/2018/11/21/sanchez-mando-coche-oficial-vacio-valladolid-hacer-8-kms-del-aeropuerto-ciudad-3377374#.W_cLy1DeGp4.twitter</t>
  </si>
  <si>
    <t>A TRACTORIANOS y PODEMITAS directamente los BLOQUEO. GOLPISTAS: ni olvido ni perdón, largos años de prisión.</t>
  </si>
  <si>
    <t>tintorro61</t>
  </si>
  <si>
    <t>Este asco de Pedro Sánchez nos venderá a Inglaterra. Luego dirán que la culpa será del PP y CS. Se puede ser más cerdo. Gibraltar Español.</t>
  </si>
  <si>
    <t>♈️Marina Polo♈️</t>
  </si>
  <si>
    <t>Antena 3 acaba de quejarse porque Pedro Sánchez no va a visitar a la oposición de los castristas que, según ellos literalmente, "sufren el yugo de la dictadora"...</t>
  </si>
  <si>
    <t>Left-wing</t>
  </si>
  <si>
    <t>You'll never be good enough. In another life I was a vampire, then I became a soldier, but now I'm just a killjoy. ⋆*:･ﾟ⋆✷*Chimpanzees•✧✷･Kdramaqueen✧⋆✷⋆✴*</t>
  </si>
  <si>
    <t>Video: Pedro Sánchez firmará acuerdos comerciales con Cuba  #España</t>
  </si>
  <si>
    <t>http://bit.ly/2r18zOX</t>
  </si>
  <si>
    <t>Manu</t>
  </si>
  <si>
    <t>May defendiendo la soberanía de Gibraltar en la cámara de los comunes. Pedro Sánchez manda a un señor gordito con gafas a quejarse en una comisión que la UE no había mención a Gibraltar</t>
  </si>
  <si>
    <t>-¿Tiene usted abogado? - Sí, el que tengo aquí colgado.</t>
  </si>
  <si>
    <t>https://twitter.com/gazpachoblog/status/826075433087201281</t>
  </si>
  <si>
    <t>Javi Carrasco</t>
  </si>
  <si>
    <t>Por lo visto Pedro Sanchez nos va a hacer a los autónomos pagar 64€ más al mes. Solo se me ocurre decir: ¡Sánchez, cabrón, paga mi cupón!</t>
  </si>
  <si>
    <t>Lominchar</t>
  </si>
  <si>
    <t>Cura (padre javier), terrorista profeta, buscador de parecidos,experto en espabilar abombados, portero pichichi, ex-jugador cef lominchar</t>
  </si>
  <si>
    <t>McGrego</t>
  </si>
  <si>
    <t>Cada vez tengo más claro que Pedro Sánchez lo único que quiere es viajar gratis hasta que pueda y por eso no quiere convocar elecciones.</t>
  </si>
  <si>
    <t>Un poco de esto, no?</t>
  </si>
  <si>
    <t>http://camboyando.tumblr.com/</t>
  </si>
  <si>
    <t>ESPAÑA JUSTA Y UNIDA</t>
  </si>
  <si>
    <t>PEDRO SÁNCHEZ ..MENUDO SINVERGÜENZA JETA OKUPA TRAIDOR ERES ..NO TE DA VERGÜENZA LAMERLES EL CULO A LOS DICTADORES DE CUBA VENEZUELA ..ERES UN COBARDE INMENSO ERES UN OKUPA QUE PACTA CON ASESINOS GOLPISTAS SOLO POR SER PRESIDENTE ..NI VERGÜENZA NI EDUCACIÓN TIENES OKUPA</t>
  </si>
  <si>
    <t>Políticas derechos igualdad justicia centro derecha liberal</t>
  </si>
  <si>
    <t>HÉCTOR  🇪🇸</t>
  </si>
  <si>
    <t>Pedro Sánchez ha viajado a Cuba para informarse de como se entierran a los dictadores, que de eso allí saben bastante.</t>
  </si>
  <si>
    <t>Un día será en Nueva York.</t>
  </si>
  <si>
    <t>Si tienes las manos limpias enséñalas. Cualquier cosa que diga podrá ser utilizada con un bloqueo.</t>
  </si>
  <si>
    <t>VÍDEO | Pedro Sánchez le preguntó a May por una negociación directa sobre Gibraltar: "Si dice que no, no votaré al acuerdo de retirada del Reino Unido"</t>
  </si>
  <si>
    <t>http://atres.red/ag2ce1</t>
  </si>
  <si>
    <t>Javier Rodrigo</t>
  </si>
  <si>
    <t>Theresa May cree que aún hay tiempo para que Pedro Sánchez cambie de opinión. Y tanto. Dos o tres veces!!!!!</t>
  </si>
  <si>
    <t>Si no te ries, para qué sirves?</t>
  </si>
  <si>
    <t>José A. Sánchez</t>
  </si>
  <si>
    <t>Piensa naranja, piensa diferente...</t>
  </si>
  <si>
    <t>Video: Pedro Sánchez realiza visita oficial a Cuba  #España</t>
  </si>
  <si>
    <t>http://bit.ly/2r1UxN0</t>
  </si>
  <si>
    <t>Enrique Fernández</t>
  </si>
  <si>
    <t>Depende con que Pedro Sánchez hablo.. dicen que la pregunto a Sánchez como llevaba su bipolaridad, y le contestó.. no se, pregúntale al otro.. es lo que nos toca.. RT @mcyava: May: "Defenderé la soberanía británica de Gibraltar. Fui absolutamente clara con Pedro Sánchez" @sanchezcastejon fue usted claro con ella? #GibraltarEspañol  vía @indpcom</t>
  </si>
  <si>
    <t>https://twitter.com/mcyava/status/1065645313539665920
https://www.elindependiente.com/politica/2018/11/22/may-soberania-britanica-gibraltar-absolutamente-clara-pedro-sanchez/?utm_source=share_buttons&amp;utm_medium=twitter&amp;utm_campaign=social_share</t>
  </si>
  <si>
    <t>Vinarós, España</t>
  </si>
  <si>
    <t>Director comercial y todo lo demás autónomo</t>
  </si>
  <si>
    <t>May negociando en Bruselas por Gibraltar y Pedro Sánchez haciendo el tonto en Cuba</t>
  </si>
  <si>
    <t>ignacio merino</t>
  </si>
  <si>
    <t>http://www.citizengo.org/hazteoir/166670-no-expolie-por-segunda-vez-archivo-salamanca?tc=tw&amp;tcid=52308728</t>
  </si>
  <si>
    <t xml:space="preserve"> Bilbao en Donostia</t>
  </si>
  <si>
    <t>De mis enemigos me defiendo yo, de mis amigos que me defienda Dios</t>
  </si>
  <si>
    <t>El chef Pedro Sánchez (restaurante Bagá), primer cocinero de la provincia de Jaén en obtener una estrella Michelin | Mercacei</t>
  </si>
  <si>
    <t>https://www.mercacei.com/noticia/49802/actualidad/el-chef-pedro-sanchez-restaurante-baga-primer-cocinero-de-la-provincia-de-jaen-en-obtener-una-estrella-michelin.html</t>
  </si>
  <si>
    <t>Mancha Real, España</t>
  </si>
  <si>
    <t>Andaluz hasta la médula</t>
  </si>
  <si>
    <t>DeporteCoruña</t>
  </si>
  <si>
    <t>Pedro Sánchez y Dubarbier, bajas ante Osasuna</t>
  </si>
  <si>
    <t>http://dlvr.it/QrtJ2Q</t>
  </si>
  <si>
    <t>Twitter de Deportes de A Coruña.</t>
  </si>
  <si>
    <t>Victor Regueiro</t>
  </si>
  <si>
    <t>Vergüenza le debería de dar a Pedro Sánchez permitir que le escupan a uno de sus ministros sus socios los golpistas, mientras Él está dispuesto a indultarles en contra de la voluntad de los españoles RT @Albert_Rivera: 🎥 Hoy los socios separatistas del PSOE han escupido a España. Mientras Sánchez les promete indultos, nosotros hemos salido a defender a Borrell. ¿Hasta cuándo piensa permitir estas humillaciones al pueblo español? #EleccionesYa @120minutosTM</t>
  </si>
  <si>
    <t>https://twitter.com/Albert_Rivera/status/1065230411448688640</t>
  </si>
  <si>
    <t>https://pbs.twimg.com/media/DshvpkJX4AEZpod.jpg</t>
  </si>
  <si>
    <t>Català i Republicà 4 ever</t>
  </si>
  <si>
    <t>🤔🤔🤔🤔🤔Marlaska desvela que Pedro Sánchez le pidió ser candidato a la alcaldía de Madrid antes de la moción de censura  vía @eldiarioes</t>
  </si>
  <si>
    <t>Barcelona, Paisos Catalans</t>
  </si>
  <si>
    <t>Catalán, con cuatro abuelos andaluces, demócrata,republicano e independentista....por culpa de...PPSOE,C'S,EL REY ,TVE,A3, LA SEXTA, T5.,INDA,MARHUENDA...</t>
  </si>
  <si>
    <t>Séneca</t>
  </si>
  <si>
    <t>Continuar haciendo del Real Madrid el mejor equipo del Mundo</t>
  </si>
  <si>
    <t>Sonia Pérez</t>
  </si>
  <si>
    <t>https://www.marbella24horas.es/local/el-mitin-de-pedro-sanchez-y-susana-diaz-en-marbella-cambia-de-dia-24029</t>
  </si>
  <si>
    <t>Cuenta personal</t>
  </si>
  <si>
    <t>La indignidad de Pedro Sánchez con Borrell -</t>
  </si>
  <si>
    <t>https://noticierouniversal.com/actualidad/la-indignidad-de-pedro-sanchez-con-borrell/</t>
  </si>
  <si>
    <t>Llegará hoy a Cuba Pedro Sánchez, presidente del Gobierno de ....</t>
  </si>
  <si>
    <t>http://bit.ly/2Aea6W6</t>
  </si>
  <si>
    <t>si es cierto q el Pedro Sánchez ha ido d Madrid a Valladolid en el avión oficial y al mismo tiempo ha enviado vacío su coche oficial para trasladarle solo del aeropuerto d Valladolid al lugar d encuentro (unos 10 km) habría q ir pensando en malversación d fondos públicos!!</t>
  </si>
  <si>
    <t>Paco Pérez</t>
  </si>
  <si>
    <t>Pedro Sánchez está desesperado y ya no sabe como dar la nota. Este es capaz de declararle la guerra al Reino Unido para celebrar un Mundial en Gibraltar.</t>
  </si>
  <si>
    <t>The artist currently known as Santalla</t>
  </si>
  <si>
    <t>Necesito montajes cutres de Pedro Sánchez. Dadme montajes cutres de Pedro Sánchez, como este.</t>
  </si>
  <si>
    <t>https://pbs.twimg.com/media/DsobmvPWkAA4sC4.jpg</t>
  </si>
  <si>
    <t>Ferrol, Galicia, España</t>
  </si>
  <si>
    <t>Eu son carpinteiro. Periodismo USC</t>
  </si>
  <si>
    <t>Antonio Maceo</t>
  </si>
  <si>
    <t>#SomosCuba Biografía oficial del Excmo. Sr. Pedro Sánchez Pérez-Castejón, presidente del Gobierno del Reino de España</t>
  </si>
  <si>
    <t>Galsuinda †</t>
  </si>
  <si>
    <t>Pedro Sánchez tiene sobre la mesa la petición de los independentistas de cesar a Borrell</t>
  </si>
  <si>
    <t>http://bit.ly/2DS7Ecc</t>
  </si>
  <si>
    <t>Promuevo la adopción espiritual del no nacido en peligro de ser abortado: «Et deliciae meae esse cum filiis hominum» http://foropelayo.blogspot.com</t>
  </si>
  <si>
    <t>http://adopcionespiritual.org</t>
  </si>
  <si>
    <t>Rafael Herranz</t>
  </si>
  <si>
    <t>Lo de esta gente es de traca. Lo que es bueno para otoño lo es para ahora y ademas necesario de que se apliquen las medidas cuanto antes. Asi que dejense de excusas señores de ERC dejen de insultar de mentir y hagan lo mejor para todos. Que es aprobar PGE</t>
  </si>
  <si>
    <t>La Linterna</t>
  </si>
  <si>
    <t>Pedro Sánchez está a punto de llegar a Cuba y en La Linterna hablaremos con cubanos para saber cuál es la situación en su país tras la muerte de Castro. ¿Crees que ha cambiado la situación? ¿Has podido visitar Cuba? Cuéntanoslo. También nota de voz al whatsapp 📲600 544 555 @COPE</t>
  </si>
  <si>
    <t>De lunes a viernes de 19 a 23:30h, encendemos La Linterna en la Cadena @COPE con Ángel Expósito @ExpositoCOPE and Company WhatsApp: 600544555</t>
  </si>
  <si>
    <t>http://www.cope.es/lalinterna</t>
  </si>
  <si>
    <t>auto-hermes-sxxi</t>
  </si>
  <si>
    <t>He añadido un vídeo a una lista de reproducción de @YouTube ( - Pedro Sánchez realiza visita oficial a</t>
  </si>
  <si>
    <t>http://youtu.be/EyAx7UHF6CU?a</t>
  </si>
  <si>
    <t>Servicio de Información-Comunicación</t>
  </si>
  <si>
    <t>http://about.me/domroberto</t>
  </si>
  <si>
    <t>Consentío #TodosSomosLlarena</t>
  </si>
  <si>
    <t>Aprendiz de patriota. Soy tan catalán como tú.</t>
  </si>
  <si>
    <t>https://elgabinetedelascuriosidades.com</t>
  </si>
  <si>
    <t>Lien Carrazana Lau</t>
  </si>
  <si>
    <t>Pedro Sánchez no se reunirá con la oposición cubana en su visita a #Cuba, ¡porque otros líderes mundiales no lo han hecho! ¡Claro, sabemos que eres igual de miserable que la mayoría! Eso sí, para hacer negocios con la dictadura presidirá una reunión con empresarios españoles.</t>
  </si>
  <si>
    <t>Madrid, (S)pain.</t>
  </si>
  <si>
    <t>Mi nombre significa flor de loto. Desciendo de chinos y españoles, vine al mundo de nalgas, como si supiera que la vida quiere patearnos el trasero. Soy cubana.</t>
  </si>
  <si>
    <t>http://about.me/lacajadelachina</t>
  </si>
  <si>
    <t>Carmelo Molina Sánch</t>
  </si>
  <si>
    <t>GrupoPopularCongreso</t>
  </si>
  <si>
    <t>📽 "El secretario de Estado para la #UE, el ministro Borrell y Pedro Sánchez son los máximos responsables de una negociación que no se ha podido hacer peor" 🎙@concha_santa en la Comisión Mixta para la #UE🇪🇺</t>
  </si>
  <si>
    <t>pic.twitter.com/Y16DWBD1DD</t>
  </si>
  <si>
    <t>Grupo Parlamentario Popular en el Congreso de los Diputados</t>
  </si>
  <si>
    <t>http://www.gppopular.es/</t>
  </si>
  <si>
    <t>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</si>
  <si>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Carlos 🇪🇸</t>
  </si>
  <si>
    <t>Pedro Sánchez está haciendo lo mismo que los independentistas. Prometer cosas que sabe de sobra no podrá cumplir.</t>
  </si>
  <si>
    <t>Mi vaso es pequeño, pero bebo en mi vaso....</t>
  </si>
  <si>
    <t>https://T.co/RRRnkIASDn</t>
  </si>
  <si>
    <t>He leído por ahí que el gobierno de Pedro Sánchez es tan indigno que caerá a escupitajos. Yo creo lo mismo.</t>
  </si>
  <si>
    <t>Juan José Sánchez Soto</t>
  </si>
  <si>
    <t>(Como se nota gracias a quien es Presidente Pedro Sánchez) Sánchez deja solo a Borrell pese al enfado de la vieja guardia del PSOE con Rufián.</t>
  </si>
  <si>
    <t>https://www.elconfidencial.com/espana/2018-11-22/sanchez-psoe-borrell-rufian-congreso-pp_1660886/?utm_source=twitter&amp;utm_medium=social&amp;utm_campaign=BotoneraWeb</t>
  </si>
  <si>
    <t>Derecho y Ciencias Políticas. Liberal y patriota. Nuevas Generaciones del Partido Popular.</t>
  </si>
  <si>
    <t>https://www.facebook.com/juanjose.sanchezsoto.1</t>
  </si>
  <si>
    <t>Canal Citytv</t>
  </si>
  <si>
    <t>España buscar estrechar lazos con Cuba tras 32 años de separación ►</t>
  </si>
  <si>
    <t>http://ow.ly/pr3E30mIxNa</t>
  </si>
  <si>
    <t>https://pbs.twimg.com/media/DsoZ2qjXoAY7D9v.jpg</t>
  </si>
  <si>
    <t>Información de Colombia y el mundo, desde Bogotá. Nos renovamos sin perder la esencia ni la cercanía con ustedes #TuMundoAquí Instagram: canalcitytv</t>
  </si>
  <si>
    <t>https://www.facebook.com/citytv.com.co/</t>
  </si>
  <si>
    <t>La mayoría de españoles rechazan gestión del socialista Pedro Sánchez en economía y empleo</t>
  </si>
  <si>
    <t>https://buff.ly/2QjJDgZ</t>
  </si>
  <si>
    <t>Telediarios de TVE</t>
  </si>
  <si>
    <t>🌎ECDLC🌍SOFT🌏</t>
  </si>
  <si>
    <t>Pedro Sánchez y Susana Díaz finalmente compartirán acto de campaña el martes en Marbella La presencia del presidente del Gobierno prevista para el domingo fue suspendida por su coincidencia con la cumbre de la UE sobre el brexit  vía @opiniondemalaga</t>
  </si>
  <si>
    <t>Los Telediarios de @tve_tve son los informativos preferidos por la audiencia española en todas sus ediciones.</t>
  </si>
  <si>
    <t>http://www.rtve.es/alacarta/videos/telediario/</t>
  </si>
  <si>
    <t>In my olive tree</t>
  </si>
  <si>
    <t>Día Mundial de la Población | UN - Ωω | Telecom | Κοῖος Koĩos | NATO | 武士 | Brave | ExeBat | IniVbs | 😏🤔⚽️🔗</t>
  </si>
  <si>
    <t>Salva Tovar Funes</t>
  </si>
  <si>
    <t>https://okdiario.com/espana/2018/11/21/sanchez-mando-coche-oficial-vacio-valladolid-hacer-8-kms-del-aeropuerto-ciudad-3377374#.W_cHH0D9T5Z.twitter</t>
  </si>
  <si>
    <t>Regidor del Ayuntamiento de Sta Coloma de Gramenet y Portavoz de Cs en la Diputación de Barcelona. Trabajando por y para los ciudadanos. Abogado e historiador</t>
  </si>
  <si>
    <t>Josep M 🎗🇵🇸</t>
  </si>
  <si>
    <t>Marlaska avisa a Villarejo si suelta la "bomba final": "El Estado tiene resortes para que no lo pongan en jaque"</t>
  </si>
  <si>
    <t>Juan Pedro Franco</t>
  </si>
  <si>
    <t>Otro gran ejemplo de la limpieza democrática que nos prometió @sanchezcastejon Lo que no sé si fue el Pedro Sánchez de la oposición o el Pedro Sánchez Presidente 🤔🤔🤔🤔 RT @LaLupaJudicial: La Ministra Delgado destituye al Jefe de los Abogados del Estado. Causa: No firmó sedición creía en el delito de Rebelion.</t>
  </si>
  <si>
    <t>Rebel·lar-se contra la injustícia no és un acte de llibertat; és un deure i una obligació</t>
  </si>
  <si>
    <t>https://twitter.com/LaLupaJudicial/status/1065303029149241344</t>
  </si>
  <si>
    <t>https://pbs.twimg.com/media/Dsi3dRxWoAAxqNa.jpg</t>
  </si>
  <si>
    <t>Quo ist verita? pharmacist, marketer, geek, optimistic and catholic</t>
  </si>
  <si>
    <t>http://www.durasymaduras.blogspot.com</t>
  </si>
  <si>
    <t>Una protesta de taxistas obliga a cerrar el recinto del mitin de Díaz y Pedro Sánchez en Sevilla  vía @diariosur</t>
  </si>
  <si>
    <t>https://www.diariosur.es/elecciones/andaluzas/protesta-taxistas-obliga-20181122203058-nt.html</t>
  </si>
  <si>
    <t>Cris</t>
  </si>
  <si>
    <t>http://chng.it/w62v5kkD</t>
  </si>
  <si>
    <t>ElMundo."Pedro Sánchez responsabiliza a Casado y a Rufián de la crispación política y les exige disculpas públicas"  Lo del odio que decía el otro día contra el PP.Ayer,ningún diputado PP está en la trifulca pero la culpa es del PP. Es de un nivel enfermizo</t>
  </si>
  <si>
    <t>http://bit.ly/2Kq0g8u</t>
  </si>
  <si>
    <t>guadalupana</t>
  </si>
  <si>
    <t>marbellaconfidencial</t>
  </si>
  <si>
    <t>AMPLIACIÓN.- #2D. El presidente del Gobierno, @sanchezcastejon, volverá a participar el martes 27 en la campaña en un mitin en #Marbella junto a @susanadíaz</t>
  </si>
  <si>
    <t>http://www.citizengo.org/hazteoir/166670-no-expolie-por-segunda-vez-archivo-salamanca?tc=tw&amp;tcid=52308457</t>
  </si>
  <si>
    <t>Información e investigación. Medio digital fundado en septiembre de 2014, dirigido por @JC_Villanueva, miembro de @P_investigacion (España).</t>
  </si>
  <si>
    <t>http://www.marbellaconfidencial.es</t>
  </si>
  <si>
    <t>Pedro Sánchez ampliará por decreto en enero los permisos de #paternidad</t>
  </si>
  <si>
    <t>https://www.elconfidencialdigital.com/articulo/dinero/pedro-sanchez-ampliara-decreto-enero-permisos-paternidad/20181121190407118402.amp.html?__twitter_impression=true</t>
  </si>
  <si>
    <t>Mulo</t>
  </si>
  <si>
    <t>Pedro Sánchez con el torso desnudo y aceitado rompiendo un enorme bloque de hielo con un gran mazo ante los aplausos de los espectadores. RT @ReutersWorld: Spain's premier to break ice in Cuba after three decades</t>
  </si>
  <si>
    <t>https://twitter.com/ReutersWorld/status/1065685416974708736
https://reut.rs/2RbsTc9</t>
  </si>
  <si>
    <t>El Viejo Mundo</t>
  </si>
  <si>
    <t>Patán de izquierdas imperiófobo. Tonto útil. Letroso nomotético. Cientificista posmo. Reformista insurreccional. Mediocrécrata. Narodnik. Resentido.</t>
  </si>
  <si>
    <t>PP Comunidad de Madrid</t>
  </si>
  <si>
    <t>"Hay dos modelos de gobierno en España: el del @ppopular, que sacó a nuestro país de la crisis económica y la dejó en la senda del crecimiento, y el de Pedro Sanchez, que nos deja titulares de desaceleración y que nos quiere freír a impuestos". @Aglezterol en @pptetuan.</t>
  </si>
  <si>
    <t>https://pbs.twimg.com/media/DsoY4ksVYAARnIA.jpg</t>
  </si>
  <si>
    <t>Somos el partido preferido de los madrileños. En este proyecto tú eres el protagonista 📮 participa@ppmadrid.es</t>
  </si>
  <si>
    <t>http://www.ppmadrid.es</t>
  </si>
  <si>
    <t>España y Cuba quieren dar estabilidad al reencuentro político que representa la visita que este jueves ha iniciado Pedro Sánchez a La Habana, la primera de un presidente español en 32 años</t>
  </si>
  <si>
    <t>https://elpais.com/politica/2018/11/22/actualidad/1542901416_560011.html?id_externo_rsoc=TW_CM</t>
  </si>
  <si>
    <t>Raúl Rafecas</t>
  </si>
  <si>
    <t>Barcelona. España</t>
  </si>
  <si>
    <t>tav - traductor audiovisuales. un chollo</t>
  </si>
  <si>
    <t>http://raulrafecas.com</t>
  </si>
  <si>
    <t>L'amanecer rojo (2)</t>
  </si>
  <si>
    <t>Pedro Sánchez deja q escupan a sus ministros x mantenerse en la Moncloa como presidente no elegido x el pueblo. Está dispuesto a arrastrarse x el fango y dejar q le pisen. PSOE el partido de la indignidad. Sólo cabe esperar q en su partido le obliguen a ir a elecciones o le echen</t>
  </si>
  <si>
    <t>No salgo x TV, no utilizo twitter más q como pasatiempo, y no me paso el día haciendo tuits ni sigo a nadie. Eso sí, digo mis verdades.😍🤠☀️</t>
  </si>
  <si>
    <t>martinezvelazquez</t>
  </si>
  <si>
    <t>Madrid, Madrid</t>
  </si>
  <si>
    <t>española desencantada y muy preocupada</t>
  </si>
  <si>
    <t>Paco Luis</t>
  </si>
  <si>
    <t>Se imaginan a la derecha o a la izquierda Alemana o Italiana no condenando el separatismo... Pues Pedro Sánchez y Pablo Iglesias no sólo no lo hacen sino que son socios de gobierno de los independentistas. Incluso permiten escupan a sus Ministros</t>
  </si>
  <si>
    <t>Los políticos están por debajo de la media moral e intelectual de los ciudadanos, pero están al nivel de sus votantes</t>
  </si>
  <si>
    <t>maría kloster</t>
  </si>
  <si>
    <t>Argentina. Argentinísima, y a mucha honra Porteña Voy X la Etica, el honor, la responsabilidad, la decencia La Justicia. Y por los POBRES y DESAMPARA2 del MUNDO</t>
  </si>
  <si>
    <t>Alba_UnderStars</t>
  </si>
  <si>
    <t>http://www.citizengo.org/hazteoir/166670-no-expolie-por-segunda-vez-archivo-salamanca?tc=tw&amp;tcid=52308390</t>
  </si>
  <si>
    <t xml:space="preserve">Tabarnia </t>
  </si>
  <si>
    <t>What is fair, is fair!!!! Still downloading full version 155.0 #niolvidoniperdon #EleccionesYa</t>
  </si>
  <si>
    <t>⚡ ℤ𝔼𝕌𝕊⚡</t>
  </si>
  <si>
    <t>Empiezo a darme cuenta de dónde ha sacado la idea Pedro Sánchez para lo del Falcon.</t>
  </si>
  <si>
    <t>https://pbs.twimg.com/media/DsoXq_qWkAAjaHg.jpg</t>
  </si>
  <si>
    <t>82,2967277, -36,1535865</t>
  </si>
  <si>
    <t>Ya decía Quevedo que nadie ofrece tanto como el que no va a cumplir, porque la parte fácil siempre es la primera. 🇪🇦 🇪🇺</t>
  </si>
  <si>
    <t>Phosquito</t>
  </si>
  <si>
    <t>https://okdiario.com/espana/2018/11/21/sanchez-mando-coche-oficial-vacio-valladolid-hacer-8-kms-del-aeropuerto-ciudad-3377374#.W_cE6227lto.twitter</t>
  </si>
  <si>
    <t>FÉLIX SÁNCHEZ CABELL</t>
  </si>
  <si>
    <t>http://www.citizengo.org/hazteoir/166670-no-expolie-por-segunda-vez-archivo-salamanca?tc=tw&amp;tcid=52308369</t>
  </si>
  <si>
    <t>Hijo de un sargento del CUERPO, del BENEMÉRITO INSTITUTO...VIVA HONRADA LA GUARDIA CIVIL.</t>
  </si>
  <si>
    <t>Llegará hoy a Cuba Pedro Sánchez, presidente del Gobierno de España  vía @elcomunistanet</t>
  </si>
  <si>
    <t>https://elcomunista.net/2018/11/22/llegara-hoy-a-cuba-pedro-sanchez-presidente-del-gobierno-de-espana/</t>
  </si>
  <si>
    <t>Cuba - El presidente español Pedro Sánchez inició este jueves una visita oficial de 24 horas a La Habana. Se trata de la primera visita de un mandatario español a Cuba en 32 años, desde que Felipe González lo hizo en 1986.</t>
  </si>
  <si>
    <t>PACO CALDERON</t>
  </si>
  <si>
    <t>http://www.citizengo.org/es/node/166670?tc=tw&amp;tcid=52308344</t>
  </si>
  <si>
    <t>cordoba</t>
  </si>
  <si>
    <t>Radiofonista</t>
  </si>
  <si>
    <t>http://www.radioestrella.eu</t>
  </si>
  <si>
    <t>Clemente Polo</t>
  </si>
  <si>
    <t>Una consecuencia beneficiosa de que se paralice la tramitación de los PGE 2019 es que el PNV no va sacar tajada. Por si alguno no lo tenía claro, su apoyo a Sánchez tenía un precio y no han tardado mucho en exigir el pago: l"  vía @ecd_</t>
  </si>
  <si>
    <t>https://www.elconfidencialdigital.com/articulo/politica/urkullu-arrincona-pedro-sanchez-exige-transferencia-inmediata-prisiones-seguridad-social/20181018181602117276.html</t>
  </si>
  <si>
    <t>http://clementepolo.wordpress.com</t>
  </si>
  <si>
    <t>chumbo el navajas</t>
  </si>
  <si>
    <t>Es bastante probable que me chape la cuenta en poco, hay más mierda aquí que en el tuiter de Pedro Sánchez</t>
  </si>
  <si>
    <t>Me gustan los Bionicle y ponerme fuerte</t>
  </si>
  <si>
    <t>#Cuba Opositora Berta Soler insiste en ser escuchada por el presidente Pedro Sánchez</t>
  </si>
  <si>
    <t>Dominican Herald 🔵</t>
  </si>
  <si>
    <t>Llegará hoy a Cuba Pedro Sánchez, presidente del Gobierno de España</t>
  </si>
  <si>
    <t>https://ift.tt/2Bqa27o</t>
  </si>
  <si>
    <t>Dominican Republic</t>
  </si>
  <si>
    <t>Somos un medio de comunicación con profesionales dominicanos y enfoque global. Visita nuestro portal web.</t>
  </si>
  <si>
    <t>https://goo.gl/LWLbxK</t>
  </si>
  <si>
    <t>Niki</t>
  </si>
  <si>
    <t>Que te escupa te defiende tu pero al estar bajo un jefe y te escupe y encima te rebaje tu propio jefe antes toda una Nación y el mundo, mal asunto ya que de que te vale ser Ministros total para lo que le vales a tu jefe el GRAN PEDRO SÁNCHEZ. PARA LIMPIARLER EL TRASERO RT @CristinaSegui_: Digno de recordar: Sánchez cataloga a ERC y el BILDU. de “constitucionalistas” y exige respeto para ellos. Ayer esputaron a su ministros.</t>
  </si>
  <si>
    <t>May advierte a España de que protegerá “la soberanía británica” de Gibraltar - mientras tanto Pedro Sánchez se va de vacaciones al caribe. Menudo petardo de presidente</t>
  </si>
  <si>
    <t>Rafael Lora</t>
  </si>
  <si>
    <t>43.000 nuevos documentos pueden salir del Archivo de Salamanca en los próximos días para ser entregados a la Generalidad de Cataluña. Es el pago de Pedro Sánchez al apoyo parlamentario que le prestan los separatistas.</t>
  </si>
  <si>
    <t>Entre mis preferencias está la naturaleza, viajar, leer y escribir. Autor de las novelas NO ESTAMOS SOLOS Y LAS SOMBRAS DE LAURA.</t>
  </si>
  <si>
    <t>peres toxo.</t>
  </si>
  <si>
    <t>Reino de Valencia. España</t>
  </si>
  <si>
    <t>Hay algo peor que un catalán independentista ? Sí, un valenciano catalanista.</t>
  </si>
  <si>
    <t>mikelino🎗</t>
  </si>
  <si>
    <t>Teresa May en la cámara de los lores: defenderé los intereses y la soberanía inglesa sobre Gibraltar se lo he dejado claro a pedro sanchez</t>
  </si>
  <si>
    <t>de izquierda de los de verdad y republicano el machismo mata el fascismo también</t>
  </si>
  <si>
    <t>Juanma Vidal</t>
  </si>
  <si>
    <t>J.X.</t>
  </si>
  <si>
    <t>Pedro Sánchez no verá a la oposición cubana para no desairar al castrismo en su viaje a la isla | España</t>
  </si>
  <si>
    <t>Luna de Endor</t>
  </si>
  <si>
    <t>Periodista y Productor de TV http://es.linkedin.com/in/juanmavidal ¡Nunca, nunca, nunca te rindas!</t>
  </si>
  <si>
    <t>Abogado. Lawyer. Romanista. Liberal clásico.</t>
  </si>
  <si>
    <t>Mundo Burbu</t>
  </si>
  <si>
    <t>Qué sorpresa te vas a llevar cuando te enteres de que Josep Borrell es socialista y ministro del Gobierno de Pedro Sánchez elegido con especial cariño por Pedro Sánchez. Sorpresa sorpresa. RT @Albert_Rivera: 🏛 Sánchez está más cómodo con los que escupen a un ministro de España que con los que defendemos a ese ministro vejado por los separatistas. Así es el sanchismo: capaz de todo por el poder.</t>
  </si>
  <si>
    <t>https://twitter.com/albert_rivera/status/1065600760770105344</t>
  </si>
  <si>
    <t>pic.twitter.com/oX5Iot5J2j</t>
  </si>
  <si>
    <t>Para la libertad, sangro, lucho, pervivo,...</t>
  </si>
  <si>
    <t>Teo</t>
  </si>
  <si>
    <t>Donde comenzó La Reconquista</t>
  </si>
  <si>
    <t>.. Corté, sólo la flor, y lo mejor de cada instante.. A un hombre conocerás por su vivir... A MI MANERA. ESPAÑA UNA NACIÓN</t>
  </si>
  <si>
    <t>Noemí Noguerol 🇪🇸</t>
  </si>
  <si>
    <t>Abogada mediadora, liberal convencida Me gustan los libros, la música, la informatica... Soy PRO-VIDA. http://damacristal84.wordpress.com</t>
  </si>
  <si>
    <t>http://foros.foxinver.com</t>
  </si>
  <si>
    <t>Jesús #BancaPública</t>
  </si>
  <si>
    <t>🤔 Grande-Marlaska: "El estado tiene resortes para que no lo pongan en jaque"</t>
  </si>
  <si>
    <t>https://m.eldiario.es/politica/Marlaska-Pedro-Sanchez-candidato-Madrid_0_836066553.html#click=https://t.co/fQk3z7Cgwn</t>
  </si>
  <si>
    <t>47°9' S, 126°43' W</t>
  </si>
  <si>
    <t>Creo que la razón humana es la luz de la Historia, que la Lucha de Clases es su motor y que el Amor es su objetivo total</t>
  </si>
  <si>
    <t>ARTURO GUSTAVO</t>
  </si>
  <si>
    <t>Las hora críticas  vía @HechosdeHoy</t>
  </si>
  <si>
    <t>https://www.hechosdehoy.com/theresa-may-desvela-lo-que-advirtio-a-pedro-sanchez-sobre-gibraltar-70280.htm</t>
  </si>
  <si>
    <t>Ibiza</t>
  </si>
  <si>
    <t>Censor Jurado de Cuentas y Economista español.</t>
  </si>
  <si>
    <t>jcjc</t>
  </si>
  <si>
    <t>Pedro Sánchez, el paso atrás de la izquierda | Nueva Revolución</t>
  </si>
  <si>
    <t>Madrid (España)</t>
  </si>
  <si>
    <t>Ruben Dario</t>
  </si>
  <si>
    <t>En el mundo canario</t>
  </si>
  <si>
    <t>Licenc por la Univ de Oviedo. Doctor por la Univ de la Laguna. Capitán de la M M Univer de Cadiz Varios libros publicados. Funcionario de C, del Gobierno de Can</t>
  </si>
  <si>
    <t>POTEMOS</t>
  </si>
  <si>
    <t>bloqueado por Pablo Iglesias alias el Mansiones por poner que el gasto de mantenimiento de la mansión con factura de una empresa zonal es de más de 4000€ mes</t>
  </si>
  <si>
    <t>elcomunista.net</t>
  </si>
  <si>
    <t>https://pbs.twimg.com/media/DsoT_n6UUAAIOhl.jpg</t>
  </si>
  <si>
    <t>elcomunistaprensa@yahoo.com</t>
  </si>
  <si>
    <t>PRENSA ROJA MUNDO HISPANO</t>
  </si>
  <si>
    <t>https://elcomunista.net/</t>
  </si>
  <si>
    <t>Para bien o para mal (según ideología) el último en gobernar en España fue Aznar. ZP sonreía, Rajoy miraba las palomas y Pedro Sánchez se da lustre y admira sus santos cojonazos. Disculpen las formas, que a veces me pierden.</t>
  </si>
  <si>
    <t>👉 Amnistía Internacional pide a @sanchezcastejon "avances" en la política de derechos humanos de Cuba</t>
  </si>
  <si>
    <t>https://www.elindependiente.com/politica/2018/11/22/amnistia-internacional-pide-pedro-sanchez-mas-compromiso-contra-dictadura-cubana/?utm_source=share_buttons&amp;utm_medium=twitter&amp;utm_campaign=social_share2</t>
  </si>
  <si>
    <t>#FueraPSOE El populista Pedro Sánchez llega este jueves a Cuba para rendir pleitesía al régimen castrista  vía @libertaddigital</t>
  </si>
  <si>
    <t>EL TIEMPO</t>
  </si>
  <si>
    <t>España buscar estrechar lazos con Cuba tras 32 años de separación</t>
  </si>
  <si>
    <t>http://ow.ly/uNcJ30mIwL5</t>
  </si>
  <si>
    <t>https://pbs.twimg.com/media/DsoS_jXXoAA-Gjj.jpg</t>
  </si>
  <si>
    <t>Principales noticias de Colombia, el mundo, deportes, economía, política, tecnología, cultura, estilo de vida, tendencias y mucho más. El Tiempo Casa Editorial.</t>
  </si>
  <si>
    <t>http://www.eltiempo.com</t>
  </si>
  <si>
    <t>Mila</t>
  </si>
  <si>
    <t>London</t>
  </si>
  <si>
    <t>Marcel Gascón Barberá</t>
  </si>
  <si>
    <t>Yo les doy el estribillo. Ayúdenme a completar el restro de la letra. ______________________________________________________________________________ Ahí está, ahí llegó A dar jabón al dictador al dictador No pares, Pedro Sánchez no pares, Pedro Sánchez  RT @MarcelGascon: Pedro Sánchez llega este jueves a Cuba para rendir pleitesía al régimen castrista  vía @libertaddigital</t>
  </si>
  <si>
    <t>https://www.youtube.com/watch?v=4Qy0vs80T5M
https://twitter.com/MarcelGascon/status/1065680382643847168
https://www.libertaddigital.com/espana/2018-11-22/pedro-sanchez-viaja-a-cuba-para-rendir-pleitesia-al-regimen-castrista-1276628700/</t>
  </si>
  <si>
    <t>Johannesburg, South Africa</t>
  </si>
  <si>
    <t>Don Javier Guerra ❤(9-7)🚀</t>
  </si>
  <si>
    <t>Culpa de Pedro Sánchez el okupa, el coletas y de los catalanes por ser unos hijos de puta separatas harriva spaya RT @soler_toni: Escopinada va</t>
  </si>
  <si>
    <t>https://twitter.com/soler_toni/status/1065565408688857088
https://twitter.com/diariARA/status/1065564578535354368</t>
  </si>
  <si>
    <t>Vallekas</t>
  </si>
  <si>
    <t>Rayo Vallecano no trates de entenderlo 29 goles en Valladolid, y tu? #RunAsOne 🚀</t>
  </si>
  <si>
    <t>Ana Maria Gonzalez Ordoñez</t>
  </si>
  <si>
    <t>Para que España este unida sobra gente como tu y como todo tu sequito asi con Pedro Sanchez que vendeis al pueblo para conseguir estar en el poder. RT @libertaddigital: Iglesias utiliza 'El País' para atacar a la monarquía: "Una nueva república será la mejor garantía para una España unida"</t>
  </si>
  <si>
    <t>https://twitter.com/libertaddigital/status/1065523550281289728
http://dlvr.it/QrqvYj</t>
  </si>
  <si>
    <t>No me gusta el independentismo. Me siento vendida a los indepen gracias a Pedrito.</t>
  </si>
  <si>
    <t>Isaac</t>
  </si>
  <si>
    <t>Bruselas desmonta punto por punto el Presupuesto de Pedro Sánchez  @elmundoes</t>
  </si>
  <si>
    <t>Badalona</t>
  </si>
  <si>
    <t>📰📺 @catalancouncil #Catalonia #República 🎗</t>
  </si>
  <si>
    <t>http://consell.republicat.cat/</t>
  </si>
  <si>
    <t>Maria Elena Guiteras</t>
  </si>
  <si>
    <t>Recuerda que a Pedro Sanchez lo odian en España por ser de extrema izquierda, ideologia que esta llevando a ese pais al caos, esta muy claro que no desea hablar con la disidencia. RT @yoanisanchez: Si el avión de Pedro Sánchez despega de esta Isla sin que el mandatario haya escuchado otra versión de la realidad que la del Palacio de la Revolución, este habrá sido un viaje inútil y parcial #SánchezCuba</t>
  </si>
  <si>
    <t>EL 2-D VOTA VOX!</t>
  </si>
  <si>
    <t>http://www.citizengo.org/hazteoir/166670-no-expolie-por-segunda-vez-archivo-salamanca?tc=tw&amp;tcid=52308063</t>
  </si>
  <si>
    <t>https://www.14ymedio.com/nacional/Sanchez-reunira-disidentes-oficial-Cuba-visita-Espana_0_2550944892.html</t>
  </si>
  <si>
    <t>FELIX MARTIN</t>
  </si>
  <si>
    <t>YO NO SE PARA QUE QUIERE MINISTROS PEDRO SANCHEZ !!! sl no los defiende ni en el Parlamento!!!</t>
  </si>
  <si>
    <t>CREADOR MODERNA ESCUELA MARKETING</t>
  </si>
  <si>
    <t>Sergi Coll de Ventós</t>
  </si>
  <si>
    <t>https://m.eldiario.es/politica/Marlaska-Pedro-Sanchez-candidato-Madrid_0_836066553.html#click=https://t.co/xPO7whsEe4</t>
  </si>
  <si>
    <t>El presidente del Gobierno, Pedro Sánchez, afirmó categoricamente, que no aprobaremos un acuerdo ni una declaración política si no se aclara el papel de España en la relación con Gibraltar.</t>
  </si>
  <si>
    <t>Cuando se meten con Pedro Sánchez, Pedro salta y dice que rompe relaciones con Casado. Cuando llaman júligan e indigno a su ministro Pedro no rompe nada con ERC, sólo pide calma y serenidad. Si eso es lo que le importa su ministro imaginad lo que les importamos el resto.</t>
  </si>
  <si>
    <t>Ángel-Luis</t>
  </si>
  <si>
    <t>Ángel Garrido reclama a Pedro Sánchez eliminar el tope del fondo de competitividad y avanzan en el desbloqueo de la A1  #economía</t>
  </si>
  <si>
    <t>http://bit.ly/2Fz5AHx</t>
  </si>
  <si>
    <t>Autor de Contafisca.es, #economista. Seguidor #CDToledo.</t>
  </si>
  <si>
    <t>http://contafisca.es/</t>
  </si>
  <si>
    <t>Sergio Santamaría</t>
  </si>
  <si>
    <t>Pedro Sánchez genuflexo ante RT @gabrielrufian: 155 monedas de plata.</t>
  </si>
  <si>
    <t>https://twitter.com/gabrielrufian/status/923492222200369152</t>
  </si>
  <si>
    <t>Gerona 🇪🇸</t>
  </si>
  <si>
    <t>Abogado 🤵</t>
  </si>
  <si>
    <t>Pedro Sánchez volverá a participar el próximo martes junto a Susana Díaz en la campaña en un mitin en Marbella</t>
  </si>
  <si>
    <t>https://ift.tt/2TvqTwG</t>
  </si>
  <si>
    <t>Hablamos de cáncer de mama y colon con los doctores Antonio Gómez Ortega y Pedro Sánchez Rovira en el #ForoSaludCOPE</t>
  </si>
  <si>
    <t>https://pbs.twimg.com/media/DsoR4lpU8AADBbI.jpg</t>
  </si>
  <si>
    <t>La UE ignora la petición de Sánchez de tener veto sobre Gibraltar tras el 'brexit' - La UE ignora la petición de Pedro Sánchez, de tener un veto sobre el estatus futuro de Gibraltar tras el brexit. De nada han servido las ...</t>
  </si>
  <si>
    <t>http://bit.ly/2FA12kc</t>
  </si>
  <si>
    <t>https://pbs.twimg.com/media/DsoR663UUAUWvoW.jpg</t>
  </si>
  <si>
    <t>Alfonso Ussía le borra la sonrisa al ególatra y hortera Pedro Sánchez mandándole de un sopapo al psiquiátrico</t>
  </si>
  <si>
    <t>Javier González Orti</t>
  </si>
  <si>
    <t>La hipocresía de pedro sanchez..... RT @Miotroyo2parte: En España quiere exhumar a Franco, que murió hace 43 años, porque era un horrible dictador. En Cuba va a visitar a un horrible dictador que continúa asesinando a gente a diario y no quiere ni reunirse con sus víctimas. Así es el doctor @sanchezcastejon.</t>
  </si>
  <si>
    <t>https://twitter.com/Miotroyo2parte/status/1065679498736271360</t>
  </si>
  <si>
    <t>Pasión infinita.Antimadridista 100/%</t>
  </si>
  <si>
    <t>marbella24horas.es</t>
  </si>
  <si>
    <t>Elecciones autonómicas 2-D: el mitin de Pedro Sánchez y Susana Díaz en #Marbella cambia de día  @PSOEMarbella @PSOE_SanPedro</t>
  </si>
  <si>
    <t>http://ht.ly/SrHv30mICBy</t>
  </si>
  <si>
    <t>https://pbs.twimg.com/media/DsoRH3fWsAU8FkT.jpg</t>
  </si>
  <si>
    <t>Primer periódico digital con la información al instante de Marbella y San Pedro Alcántara @jmzamora @JuanCAngulo</t>
  </si>
  <si>
    <t>http://www.marbella24horas.es</t>
  </si>
  <si>
    <t>PEDRO SANCHEZ ES UN FANTASMA. DE TODO LO QUE DECIA ANTES DE LEGAR AL PODER !!! ahora afirma lo comtrario!!!</t>
  </si>
  <si>
    <t>Pedro Sánchez llega a Cuba para impulsar el papel de España en el nuevo tiempo de apertura</t>
  </si>
  <si>
    <t>Rapero Faltón</t>
  </si>
  <si>
    <t>https://www.veoinfo.com/pedro-sanchez-llega-a-cuba-para-impulsar-el-papel-de-espana-en-el-nuevo-tiempo-de-apertura/</t>
  </si>
  <si>
    <t>Que valiente, el chulo de sauna @sanchezcastejon , con el dictador Franco muerto y que rata cobarde con los dictadores vivos. Pedro Sánchez llega este jueves a Cuba para rendir pleitesía al régimen castrista</t>
  </si>
  <si>
    <t>https://pbs.twimg.com/media/DsoQnGPVYAAplZ3.jpg</t>
  </si>
  <si>
    <t>La Zarza, España</t>
  </si>
  <si>
    <t>Déjame que ladre y me cago en tu padre. No me estoy pasando porque te insulto rapeando Soy un Rapero Falton con libertad de expresión.</t>
  </si>
  <si>
    <t>Freetourmadrid</t>
  </si>
  <si>
    <t>http://diario16.com/la-ocde-fmi-tratan-frenar-las-politicas-sociales-sanchez/</t>
  </si>
  <si>
    <t>Facebook Madrid a pie Free Tour Madrid</t>
  </si>
  <si>
    <t>http://www.madridapie.com</t>
  </si>
  <si>
    <t>Cui Bono</t>
  </si>
  <si>
    <t>http://www.citizengo.org/hazteoir/166670-no-expolie-por-segunda-vez-archivo-salamanca?tc=tw&amp;tcid=52307916</t>
  </si>
  <si>
    <t>Atlantis, South Africa</t>
  </si>
  <si>
    <t>Pro NEET</t>
  </si>
  <si>
    <t>Agus Gámez</t>
  </si>
  <si>
    <t>.@susanadiaz Aquí en la campaña tenemos a Casado escondiendo a su candidato y a Rivera tutelando al suyo, Pedro Sánchez está haciendo lo que tiene que hacer siendo sensible y comprometido con Andalucía. #MásAndalucía</t>
  </si>
  <si>
    <t>It's very dificult todo esto.- No me comprendes, Osgood. Soy un hombre!! - Bueno, nadie es perfecto. Andalucía 😍 Málaga💘 🌹🌹</t>
  </si>
  <si>
    <t>Chema19480522 🇪🇸</t>
  </si>
  <si>
    <t>Haber si tenemos vista y en ls próximas elecciones ns cargamos a ls SOCIALISTAS Y COMUNISTA y a su prensa Ferreras ya no se esconde y ejerce d jefe de prensa d Sánchez, defendiéndole mientras ataca brutalmente al PP sin venir a cuento  vía @Periodistadigit</t>
  </si>
  <si>
    <t>Ser español y madrileño, ahí es na'. Añado la bandera, en mis tiempos hacíamos juramento y ahora hasta la queman. Qué 🚾 de sociedad, en lo habéis quedado.</t>
  </si>
  <si>
    <t>Un Jefe del Gobierno español visitará #Cuba por primera vez en 32 años  #ATodoMomento</t>
  </si>
  <si>
    <t>http://bit.ly/2zm4NUR</t>
  </si>
  <si>
    <t>Teleáguilas</t>
  </si>
  <si>
    <t>“El Gobierno de Pedro Sánchez ha actuado como un tablacho que impide que fluyan proyectos que estaban en marcha con el anterior Gobierno de Rajoy”</t>
  </si>
  <si>
    <t>http://dlvr.it/Qrt63K</t>
  </si>
  <si>
    <t>https://pbs.twimg.com/media/DsoPEaSVAAAtelj.jpg</t>
  </si>
  <si>
    <t>Águilas, Murcia</t>
  </si>
  <si>
    <t>Somos el único operador 100% de Águilas. Internet, móvil, fijo y TV http://www.teleaguilas.es</t>
  </si>
  <si>
    <t>http://www.teleaguilas.es</t>
  </si>
  <si>
    <t>Pedro Sánchez y May mantienen una «larga conversación» telefónica tras la advertencia de España sobre el acuerdo del Brexit</t>
  </si>
  <si>
    <t>https://www.diariovasco.com/politica/pedro-sanchez-conversacion-gibraltar-brexit-20181122013215-ntrc.html</t>
  </si>
  <si>
    <t>✍️🗞️ Escribo para @AhoraInformac respecto al anuncio intencional de @sanchezcastejon de promover el portugués en la XXX Cumbre Hispano-Lusa, celebrada en Pucela:  @HablamosE</t>
  </si>
  <si>
    <t>Marina Pérez</t>
  </si>
  <si>
    <t>Color Esperanza</t>
  </si>
  <si>
    <t>francisco garcia</t>
  </si>
  <si>
    <t>Theresa May advierte a Pedro Sánchez de que protegerá la "soberanía británica" de Gibraltar @elmundoes</t>
  </si>
  <si>
    <t>http://www.elmundo.es/internacional/2018/11/22/5bf6b01b468aeb352a8b463a.html</t>
  </si>
  <si>
    <t>Atlético de Madrid</t>
  </si>
  <si>
    <t>goretti</t>
  </si>
  <si>
    <t>Pedro Sánchez gasta cerca de un millón de euros para poner a punto la luz y la calefacción de La Moncloa</t>
  </si>
  <si>
    <t>https://okdiario.com/espana/2018/11/20/sanchez-gasta-cerca-millon-euros-poner-punto-luz-calefaccion-moncloa-3372360#.W_b7IA318Bs.twitter</t>
  </si>
  <si>
    <t>Burgos (España)</t>
  </si>
  <si>
    <t>Recepcionista,Prolife,2 años en Bolivia.10 años Voluntariado en Burgos con P. excluidas socialmente (Drogadicción,Prisión,SinTecho) Me gustan series de Intriga.</t>
  </si>
  <si>
    <t>Joaquin Almaida</t>
  </si>
  <si>
    <t>La verdad que me da igual lo que haga el Presidente de mi pais con un dictador muerto, lo que me preocupa es que se haga fotos con un dictador vivo @sanchezcastejon @el_pais @elespanolcom Pedro Sánchez inicia una visita a Cuba sin citas con la disidencia</t>
  </si>
  <si>
    <t>https://elpais.com/politica/2018/11/21/actualidad/1542810485_448113.html</t>
  </si>
  <si>
    <t>Si los que hablan mal de mi, supieran lo que pienso de ellos, hablarian aún peor.</t>
  </si>
  <si>
    <t>Jesús García R.</t>
  </si>
  <si>
    <t>Las Damas de Blanco piden a Pedro Sánchez que se reúna con la oposición durante su viaje a Cuba</t>
  </si>
  <si>
    <t>Tasador UCV Faces - Desarrollo Gerencial IESA - Evaluaciones Económicas ¡Amo a Venezuela! ¡Amo el Rock!</t>
  </si>
  <si>
    <t>http://finanzasdejesus.blogspot.com/</t>
  </si>
  <si>
    <t>Marlaska avisa a Villarejo si suelta la "bomba final": "El Estado tiene resortes para que no lo pongan en jaque" (15-11-18)  vía @eldiarioes</t>
  </si>
  <si>
    <t>Luis Alcázar</t>
  </si>
  <si>
    <t>#ApuestasAlcázar -VOX va a obtener más de un diputado en las elecciones andaluzas. Le doy hasta cinco. -Pedro Sánchez convocará elecciones generales para marzo.</t>
  </si>
  <si>
    <t>Periodista (@La7_tv), etcétera. Editor del #matinal7tv (de lunes a viernes, de 8 a 12 h). Libertad individual. Libertad de palabra. ✉️: luisalcazar@gmail.com</t>
  </si>
  <si>
    <t>http://webtv.7tvregiondemurcia.es/</t>
  </si>
  <si>
    <t>🚨 La inesperada recaída de Pedro Sánchez:</t>
  </si>
  <si>
    <t>http://dsmrq.es/rcd26850</t>
  </si>
  <si>
    <t>https://pbs.twimg.com/media/DsoNWlBWwAED9bd.jpg</t>
  </si>
  <si>
    <t>FIEEL FrenteIdentiEE</t>
  </si>
  <si>
    <t>.......el Viruelas Bipolar .......está como una polla orangutan .......cerebrillo de mendigo .......las ratas se necesitan</t>
  </si>
  <si>
    <t>http://www.despiertainfo.com/2018/11/20/pedro-sanchez-visita-la-tumba-del-dictador-mohamed-v/</t>
  </si>
  <si>
    <t>No estamos aquí para convencer, sino para extinguir al cínico bolchesquizoide y al depresivo socioparapléjico fracasado</t>
  </si>
  <si>
    <t>Ferreras ya no se esconde y ejerce de jefe de prensa de Sánchez mientras ataca brutalmente al Partido Popular</t>
  </si>
  <si>
    <t>Rinaldo M Nodarse</t>
  </si>
  <si>
    <t>http://www.citizengo.org/hazteoir/166670-no-expolie-por-segunda-vez-archivo-salamanca?tc=tw&amp;tcid=52307711</t>
  </si>
  <si>
    <t>Médico Psiquiatra nací en La Habana quiero a Cuba Libre</t>
  </si>
  <si>
    <t>Señor</t>
  </si>
  <si>
    <t>Pedro sanchez no ganará las elecciones.</t>
  </si>
  <si>
    <t>Vive y deja vivir,durante 40 años oigo cosas antes de que ocurran y no se nada ni porqué, si yo no se nada del mas allá tampoco no creo que lo sepan otros</t>
  </si>
  <si>
    <t>Alfonso Ussía le borra la sonrisa al "ególatra y hortera" Pedro Sánchez mandándole de un sopapo al psiquiátrico... Pienso lo mismo. Es digno de estudio por un psiquiatra.  vía @Periodistadigit</t>
  </si>
  <si>
    <t>Partidas de dominó, noches en el Tropicana, queimadas y habanos...</t>
  </si>
  <si>
    <t>https://www.revistavanityfair.es/poder/articulos/visita-pedro-sanchez-cuba-felipe-gonzalez-fidel-castro-fraga-suarez/34767</t>
  </si>
  <si>
    <t>#autónomo-f-Tabarnia  🐒</t>
  </si>
  <si>
    <t>La Fuerza Aérea Española entrega la 1ª tarjeta "PLATINUM 60.000 MILLAS" a Pedro Sanchez por su uso continuado de los medios aéreos públicos en los 6 primeros meses de mandato</t>
  </si>
  <si>
    <t>https://pbs.twimg.com/media/DsoMjk3XcAA2toi.jpg</t>
  </si>
  <si>
    <t>Bloqueado por la mayoría de #jauriapodemita; barbero de caraduras y rufianes, 100% ESPAÑOL</t>
  </si>
  <si>
    <t>Ferreras ya no se esconde y ejerce de jefe de prensa de Sánchez, defendiéndole mientras ataca brutalmente al PP sin venir a cuento.... Y el tal Iván? Donde ha quedado?. Boicot a la secta .  vía @Periodistadigit</t>
  </si>
  <si>
    <t>Alfredo ® 🇪🇸</t>
  </si>
  <si>
    <t>Lo sigo diciendo y lo diré. Un puto INUTIL tenemos por presidente! Pedro Sánchez mandó su coche oficial vacío a Valladolid para hacer los 8 kms del aeropuerto a la ciudad</t>
  </si>
  <si>
    <t>https://okdiario.com/espana/2018/11/21/sanchez-mando-coche-oficial-vacio-valladolid-hacer-8-kms-del-aeropuerto-ciudad-3377374#.W_b4_MMfFFi.twitter</t>
  </si>
  <si>
    <t>De Jaén, porque #JaénMola</t>
  </si>
  <si>
    <t>Solo publico una parte de mi vida, el resto me la reservo para mí. Incansable para todo! Me va el CrossFit. #CrossFitwero</t>
  </si>
  <si>
    <t>https://www.instagram.com/ajcrossfitwero/</t>
  </si>
  <si>
    <t>HEAVENDIED</t>
  </si>
  <si>
    <t>Pués Pedro Sánchez, ya me parece más imbécil que ZP.</t>
  </si>
  <si>
    <t>TO THE MOON</t>
  </si>
  <si>
    <t>GOLDEN DREAMS.</t>
  </si>
  <si>
    <t>Tercio Hispánico. #LibertadPolíticaColectiva</t>
  </si>
  <si>
    <t>Sánchez exige disculpas a Casado porque ERC haya escupido a Borell. Ni se queja de ERC por la agresión de los golpistas contra Borrell. Con el gran falsario, la vileza y la indignidad alcanzan nuevas calidades en España. Ketty Garat describe lo inaudito:</t>
  </si>
  <si>
    <t>La Cruz de Borgoña ha sido incluida en escudos de armas y en banderas de España desde 1506. Como símbolo vexilológico, ha sido el más utilizado hasta 1785.</t>
  </si>
  <si>
    <t>Pitágora de Samos</t>
  </si>
  <si>
    <t>World</t>
  </si>
  <si>
    <t>Pitágoras de Samos fue matemático, filósofo. El teorema de Pitágoras, llamado así por Euclides, ya era conocido con mucha anterioridad a Pitágoras.</t>
  </si>
  <si>
    <t>No resulta hipócrita y paradójico. Me superan es indecente por donde lo mires!!!!!!</t>
  </si>
  <si>
    <t>http://www.alertadigital.com/2018/11/19/pedro-sanchez-pasa-de-defender-la-exhumacion-de-franco-a-rendir-honores-al-tirano-hassan-ii-en-su-mausoleo-de-rabat/#.W_Po_gcNQto.facebook</t>
  </si>
  <si>
    <t>F. J. A.</t>
  </si>
  <si>
    <t>Desde el mismo grupo socialista, que negaba haber visto ese acto tan indecente, hasta el presidente del Gobierno, que miró hacia otro lado, dejaron al titular de la cartera de exteriores como si hubiera mentido. Por @eugenionarbaiza</t>
  </si>
  <si>
    <t>Aquí</t>
  </si>
  <si>
    <t>Nuevos amigos, nuevos dolores. 🙄</t>
  </si>
  <si>
    <t>Menudo Cretino:Pedro Sánchez mandó su coche oficial vacío a Valladolid para hacer los 8 kms del aeropuerto a la ciudad</t>
  </si>
  <si>
    <t>https://okdiario.com/espana/2018/11/21/sanchez-mando-coche-oficial-vacio-valladolid-hacer-8-kms-del-aeropuerto-ciudad-3377374/amp?utm_term=Autofeed&amp;utm_campaign=ok&amp;utm_medium=Social&amp;utm_source=Twitter&amp;__twitter_impression=true</t>
  </si>
  <si>
    <t>P B Marbe-Malaga</t>
  </si>
  <si>
    <t>Torremolinos, España</t>
  </si>
  <si>
    <t>Me gusta montar en bicicleta con mi gorrito. La vida es bonita si se es libre</t>
  </si>
  <si>
    <t>Arquímedes de Siracusa.</t>
  </si>
  <si>
    <t>Soy físico, ingeniero, inventor, astrónomo y matemático. Se conocen pocos detalles de mi vida, pero estoy considerado uno de los científicos más importantes.</t>
  </si>
  <si>
    <t>Pedro Sánchez gasta cerca de un millón de euros para poner a punto la luz y la calefacción de La Moncloa  Pero bueno, ¿tan mal lo dejó el anterior? ¡Hay que joderse con el señorito andaluz!</t>
  </si>
  <si>
    <t>https://okdiario.com/espana/2018/11/20/sanchez-gasta-cerca-millon-euros-poner-punto-luz-calefaccion-moncloa-3372360/amp</t>
  </si>
  <si>
    <t>https://pbs.twimg.com/media/DsoLB5EU0AALMcN.jpg</t>
  </si>
  <si>
    <t>El presidente del Gobierno, Pedro Sánchez, se ha desplazado a Valladolid (a 188 kms de Madrid) en una avión Airbus para participar en la XXX Cumbre Hispano-Portuguesa. Y a tratado a los portugueses de idiotas metiendola en sus mentiras</t>
  </si>
  <si>
    <t>Aguilucho</t>
  </si>
  <si>
    <t>Pedro Sánchez llevará a #España a lo que es hoy día Venezuela? Yo creo que SI. Recomiendo a los #PoliticosEspañoles abrir los ojos y hablar menos pendejadas. #SOSESPAÑA</t>
  </si>
  <si>
    <t>Creo en la libertad y respeto de los Derechos Humanos. El Derecho al voto no es suficiente para que exista Democracia. La corrupción destruye a la Sociedad.</t>
  </si>
  <si>
    <t>Pedro Sánchez ha cubierto en coche oficial los 8 kilómetros que separan el aeropuerto del centro de la ciudad Sánchez y sus ministros han viajado en el Airbus del Ministerio de Defensa</t>
  </si>
  <si>
    <t>Furretillo</t>
  </si>
  <si>
    <t>¿Ahora se entera Pedro Sánchez que a la UE le importa un huevo la posición de España sobre la soberanía de Gibraltar? Nos usarán para negociar por un territorio que les importa una mierda al resto de los países. Esto es sin duda... ¡Más de lo mismo!</t>
  </si>
  <si>
    <t>Furretillo,el azote de los imbéciles.</t>
  </si>
  <si>
    <t>Alfred Reyes</t>
  </si>
  <si>
    <t>En realidad solo soy una pequeña parte de este enorme mundo en el que nos ha tocado vivir. Eso si, una parte muy divertida.</t>
  </si>
  <si>
    <t>Alfonso Ussía le borra la sonrisa al "ególatra y hortera" Pedro Sánchez mandándole de un sopapo al psiquiátrico.</t>
  </si>
  <si>
    <t>carlos rubio</t>
  </si>
  <si>
    <t>Memoria histórica: Pedro Sánchez es nieto del militar más sanguinario de la Guerra Civil  vía @Noticiero Universal</t>
  </si>
  <si>
    <t>https://noticierouniversal.com/destacadas/pedro-sanchez-nieto-de-militar/</t>
  </si>
  <si>
    <t>Basconcillos del Tozo</t>
  </si>
  <si>
    <t>Universidad de Ulan Bator</t>
  </si>
  <si>
    <t>Llegará hoy a #Cuba Pedro Sánchez, presidente del Gobierno de España</t>
  </si>
  <si>
    <t>http://venceremos.cu/guantanamo-cuba-noticias-nacionales/15579-llegara-hoy-a-cuba-pedro-sanchez-presidente-del-gobierno-de-espana</t>
  </si>
  <si>
    <t>https://pbs.twimg.com/media/DsoJ1IMUcAAXRYj.jpg</t>
  </si>
  <si>
    <t>Esperando a Pedro Sánchez. El presidente aterrizará en La Habana a las 16:00h (22:00 hora local española). Hará una ofrenda floral a José Martí en la Plaza de la Revolución antes de reunirse con Miguel Díaz-Canel en el Palacio de los Capitanes Generales</t>
  </si>
  <si>
    <t>https://pbs.twimg.com/media/DsoJs7yV4AA4EUt.jpg</t>
  </si>
  <si>
    <t>Rufian, pedro Sánchez y Borrel</t>
  </si>
  <si>
    <t>https://pbs.twimg.com/media/DsoJnYkX4AAtv3P.jpg</t>
  </si>
  <si>
    <t>Beatriz Frias</t>
  </si>
  <si>
    <t>Alfonso Ussía le borra la sonrisa al 'ególatra y hortera' Pedro Sánchez mandándole de un sopapo al psiquiátrico 🇪🇸</t>
  </si>
  <si>
    <t>https://www.periodistadigital.com/periodismo/prensa/2018/11/22/alfonso-ussia-borra-sonrisa-egolatra-sanchez-manda-volando-psiquiatrico.shtml#.W_b1swWyUro.twitter</t>
  </si>
  <si>
    <t>El Puerto de Sta María. España</t>
  </si>
  <si>
    <t>javier bernardo</t>
  </si>
  <si>
    <t>Pedro Sánchez recibe en el Palacio de la Moncloa a Ángel Garrido. 22/11/18. Madrid</t>
  </si>
  <si>
    <t>https://pbs.twimg.com/media/DsoI_yNWwAYo9qG.jpg</t>
  </si>
  <si>
    <t>Fotógrafo para Madridiario</t>
  </si>
  <si>
    <t>Elena Gómez Pozuelo</t>
  </si>
  <si>
    <t>Nuevo permiso de paternidad a partir de enero (dice Pedro Sánchez que lo aprobará por decreto). Prevé nueve semanas de permiso en 2019, trece semanas en 2020 y 16 semanas en 2021. ¿Os lo creéis? RT @ecd_: Pedro Sánchez ampliará por decreto en enero los permisos de paternidad</t>
  </si>
  <si>
    <t>https://twitter.com/ecd_/status/1065668989001572353
http://somosecd.com/e26pe4</t>
  </si>
  <si>
    <t>Former President Adigital. Entrepreneur and investor: BebeDeParis, Womenalia, increnta, incipy, inesdi, Cocunat, QaShops, brainsins... Lo principal: mis 3 hijos</t>
  </si>
  <si>
    <t>https://es.linkedin.com/in/elenagomezdelpozuelo</t>
  </si>
  <si>
    <t>Cs Región de Murcia</t>
  </si>
  <si>
    <t>📰Bruselas desmonta punto por punto el Presupuesto de Pedro Sánchez. 🌐@elmundoes 👉🏻 #ActualidadCs #PresupuestosFAKE</t>
  </si>
  <si>
    <t>https://bit.ly/2PG7bjE</t>
  </si>
  <si>
    <t>https://pbs.twimg.com/media/DsoIUYBW0AUwLZK.jpg</t>
  </si>
  <si>
    <t>Twitter oficial de Ciudadanos Cs Región de Murcia. Regenerando la política.</t>
  </si>
  <si>
    <t>¿Qué tienen que ver Pedro Sánchez, Marte y La Meca? Grandes los oyentes de @HerreraenCOPE</t>
  </si>
  <si>
    <t>https://www.cope.es/programas/herrera-en-cope/la-tertulia-de-los-oyentes/noticias/sanchez-interplanetario-cuba-marte-pasando-por-meca-mejor-tertulia-los-oyentes-20181122_297768</t>
  </si>
  <si>
    <t>CaraOvni</t>
  </si>
  <si>
    <t>Pues a mi me da que si Pedro Sánchez se follara a la Merkel podríamos tener grandes prebendas para los presupuestos pero claro, eso de sacrificarse por ESPAÑA es sólo para el pueblo llano, los tiquismiquis nada, yo sí hace falta a ella y al Junckers ese, votadme.</t>
  </si>
  <si>
    <t>MAYORES DE 18 AÑOS. Mi pareja planta vida mientras yo siembro muerte... Na, es coña.</t>
  </si>
  <si>
    <t>Pedro Sánchez volverá a participar el martes 27 en la campaña en un mitin en Marbella #Málaga junto a Susana Díaz</t>
  </si>
  <si>
    <t>https://www.europapress.es/andalucia/noticia-pedro-sanchez-volvera-participar-martes-27-campana-mitin-marbella-junto-susana-diaz-20181122192705.html</t>
  </si>
  <si>
    <t>La Página Definitiva</t>
  </si>
  <si>
    <t>Los indepes siguen escupiendo a Pedro Sánchez</t>
  </si>
  <si>
    <t>https://elpais.com/politica/2018/11/22/actualidad/1542900206_207288.html</t>
  </si>
  <si>
    <t>Twitter de La Página Definitiva (estarán por aquí Guillermo López y Andrés Boix)</t>
  </si>
  <si>
    <t>http://www.lapaginadefinitiva.com</t>
  </si>
  <si>
    <t>Esto no es justo</t>
  </si>
  <si>
    <t>Muy bueno 🤣🤣🤣</t>
  </si>
  <si>
    <t>https://www.esdiario.com/547588891/Pedro-Sanchez-va-al-bano-en-helicoptero-todas-las-noches-dos-veces.html</t>
  </si>
  <si>
    <t>En una República imaginativa</t>
  </si>
  <si>
    <t>Ahora ni en serio ni en broma, y sí voy a estár</t>
  </si>
  <si>
    <t>Juan Chelle</t>
  </si>
  <si>
    <t>Suena amenazante... ante el ataque de las cloacas se pueden abrir unas más poderosas. Vamos a morir!!!!!</t>
  </si>
  <si>
    <t>In dubio pro operario</t>
  </si>
  <si>
    <t>Lourdes Pino</t>
  </si>
  <si>
    <t>Pedro Sánchez volverá a participar en la campaña de las elecciones andaluzas el martes 27 en Marbella. Vía @EPAndalucia @europapress</t>
  </si>
  <si>
    <t>Periodista de política. Agencia de noticias Europa Press #Andalucia</t>
  </si>
  <si>
    <t>gmiasg</t>
  </si>
  <si>
    <t>Ussía le borra la sonrisa al ególatra y hortera Pedro Sánchez mandándole de un sopapo al psiquiátrico</t>
  </si>
  <si>
    <t>MCMLX</t>
  </si>
  <si>
    <t>http://www.citizengo.org/hazteoir/166670-no-expolie-por-segunda-vez-archivo-salamanca?tc=tw&amp;tcid=52307307</t>
  </si>
  <si>
    <t>CARRASCLET 💣</t>
  </si>
  <si>
    <t>ESPANYA TROPICALIZADA</t>
  </si>
  <si>
    <t>PERIODISTA CABREADO...INGENIERO SOÑADOR, APRENDIZ DE POLÍMATA FRACASADO, PERO TENAZ Y LIBRE PENSADOR.</t>
  </si>
  <si>
    <t>Pilar Diz</t>
  </si>
  <si>
    <t>He visto que "Ovni" es TT y por un momento he pensado que también se había traído uno Pedro Sánchez en su visita a Valladolid.</t>
  </si>
  <si>
    <t>No soy real</t>
  </si>
  <si>
    <t>R.A. San Martín</t>
  </si>
  <si>
    <t>Cuba, Venezuela y Nicaragüa son temas que el presidente español, Pedro Sánchez, deberá tratar en su próximo encuentro en La...</t>
  </si>
  <si>
    <t>https://www.radiotelevisionmarti.com/a/portavoz-del-pp-en-el-senado-interpela-a-canciller-espa%c3%b1ol-sobre-cuba-venezuela-y-nicaragua/219062.html</t>
  </si>
  <si>
    <t>Miami, Florida.</t>
  </si>
  <si>
    <t>Escritor y director de cine, radio y televisión. Editor de Noticias de América Latina - El Nuevo Herald. Editor General de Artistas Cubanos Unidos.</t>
  </si>
  <si>
    <t>Mentxu Dripos</t>
  </si>
  <si>
    <t>Theresa May desvela lo que advirtió a Pedro Sánchez sobre Gibraltar</t>
  </si>
  <si>
    <t>https://ift.tt/2AcintB</t>
  </si>
  <si>
    <t>https://pbs.twimg.com/media/DsoGcX5WkAAPhhg.jpg</t>
  </si>
  <si>
    <t>#Periodista. #Blogger. Escribo para @HechosdeHoy. #SocialMedia #Marketingdigital #CommunityManager. @AulaCM. Instagram: @mentxudripos</t>
  </si>
  <si>
    <t>Pedro Sánchez implicado en la mayor estafa bancaria de la historia  vía @Noticiero Universal</t>
  </si>
  <si>
    <t>https://noticierouniversal.com/destacadas/pedro-sanchez-implicado-estafa-bancaria/</t>
  </si>
  <si>
    <t>CRITICO E INDOMITO.</t>
  </si>
  <si>
    <t>El otro Pedro Sánchez: de las saunas gays de su suegro a su primera vez en tv vía @informalia</t>
  </si>
  <si>
    <t>OPPIDUM NUMANCIA</t>
  </si>
  <si>
    <t>Celtibero.Tribu Arevacos.Republicano. Jacobino.Agnostico.Ultraconservador..Leal.Valiente.Decente.----------------</t>
  </si>
  <si>
    <t>El Digital de Albacete</t>
  </si>
  <si>
    <t>El Gobierno de Pedro Sánchez está en trámites para construir un nuevo estacionamiento invernal en Albacete -</t>
  </si>
  <si>
    <t>https://www.eldigitaldealbacete.com/2018/11/22/el-gobierno-de-pedro-sanchez-esta-en-tramites-para-construir-un-nuevo-estacionamiento-invernal-en-albacete/</t>
  </si>
  <si>
    <t>Albacete, España</t>
  </si>
  <si>
    <t>Periódico Digital de Albacete. Todas las noticias de Albacete y provincia en el diario digital líder en Albacete y Castilla-La Mancha</t>
  </si>
  <si>
    <t>http://www.eldigitaldealbacete.com</t>
  </si>
  <si>
    <t>Don describe el vergonzoso "Viaje a Cuba" de Pedro Sánchez. via ✔️ 8X2 Democracy, SOLUCIÓN = ACCIÓN, Noticias, ESTAR LIBRE, Equilibrio, ESTADO-ORGANIZACIÓN, INTELIGENCIA INSTITUCIONAL, SOLUCIÓN = ACCIÓN, LIBERTAD DE PENSAR, Tumulto,</t>
  </si>
  <si>
    <t>https://www.abc.es/opinion/abci-viaje-cuba-201811200137_noticia.html#ns_campaign=rrss-inducido&amp;ns_mchannel=abc-es&amp;ns_source=tw&amp;ns_linkname=noticia-opinion&amp;ns_fee=0</t>
  </si>
  <si>
    <t>Juan F. Dorrego</t>
  </si>
  <si>
    <t>#Comunes: Theresa May advirtió a Pedro Sánchez que defenderá la soberanía sobre Gibraltar.  vía @HechosdeHoy</t>
  </si>
  <si>
    <t>Periodista, director de http://hechosdehoy.com, al filo de la noticia con Think Pad.</t>
  </si>
  <si>
    <t>http://www.hechosdehoy.com</t>
  </si>
  <si>
    <t>SERmallorca</t>
  </si>
  <si>
    <t>LA VENTANA DE BALEARES/ En unos minutos, Fuego cruzado, con Matías Vallés y @alarconforense (19:20 h) .-Matas se desdice .-¿Debe Pedro Sánchez convocar ya elecciones?</t>
  </si>
  <si>
    <t>https://pbs.twimg.com/media/DsoFbHgVsAA1LKn.jpg</t>
  </si>
  <si>
    <t>Twitter oficial de Radio Mallorca-Cadena SER, la primera radio de Baleares. 103.2 FM / 1080 OM</t>
  </si>
  <si>
    <t>http://radiomallorca.es</t>
  </si>
  <si>
    <t>Don describe el vergonzoso "Viaje a Cuba" de Pedro Sánchez. via 🌍 O4P AHORA, LIBERTAD FUNDAMENTANTE, Sacudida, Repúblico, SOLUCIÓN = ACCIÓN, Dejar un comentario, Repúblico, Libertad, DECLARACIÓN DE PRINCIPIOS, ESTAR EN CAMPAÑA,</t>
  </si>
  <si>
    <t>Cataluña es "el talón de Aquiles" de Pedro Sánchez.</t>
  </si>
  <si>
    <t>http://bit.ly/2PNaqWG</t>
  </si>
  <si>
    <t>San Lorenzo</t>
  </si>
  <si>
    <t>Aqui vemos a Pedro Sánchez. Le da igual lo que le pase y le da igual si le jode la vida a los demas. Él siempre quiere ser el centro de atención.</t>
  </si>
  <si>
    <t>Si tienes que ir a por la verdad es por que vives en la mentira. Cuando se va con la mentira por la vida, al final te trinkan.</t>
  </si>
  <si>
    <t>MJAB</t>
  </si>
  <si>
    <t>http://www.citizengo.org/hazteoir/166670-no-expolie-por-segunda-vez-archivo-salamanca?tc=tw&amp;tcid=52307143</t>
  </si>
  <si>
    <t>aprendiz de mucho, maestro de nada</t>
  </si>
  <si>
    <t>Pedro Sánchez ampliará por decreto en enero los permisos de paternidad</t>
  </si>
  <si>
    <t>http://somosecd.com/e26pe4</t>
  </si>
  <si>
    <t>Deportivo Addict</t>
  </si>
  <si>
    <t>Pedro Sánchez y Dubarbier, bajas ante Osasuna | Riazor</t>
  </si>
  <si>
    <t>https://www.futbol-addict.com/es/article/deportivo-la-coruna/pedro-sanchez-y-dubarbier-bajas-ante-osasuna/5bf6f049e609406441638ba9?utm_campaign=post-auto&amp;utm_medium=twitter&amp;utm_source=deportivo-addict</t>
  </si>
  <si>
    <t>¡Todas las noticias del Deportivo La Coruña en una sola cuenta!</t>
  </si>
  <si>
    <t>http://www.futbol-addict.com/es/news/liga-santander/deportivo-la-coruna</t>
  </si>
  <si>
    <t>EL PAÍS Fem</t>
  </si>
  <si>
    <t>En el revuelo desatado, el presidente Pedro Sánchez anunció una ley contra la trata y la explotación sexual</t>
  </si>
  <si>
    <t>http://ow.ly/srLj30mI7fL</t>
  </si>
  <si>
    <t>En EL PAÍS, las mujeres contamos. Por eso, ponemos el foco en cómo avanza el feminismo en el mundo. Cuenta gestionada por: @pilaralvarezm @minisashas @SandraGud</t>
  </si>
  <si>
    <t>https://elpais.com/</t>
  </si>
  <si>
    <t>Luisa</t>
  </si>
  <si>
    <t>http://dlvr.it/QrsxPG</t>
  </si>
  <si>
    <t>Theresa May advierte a Pedro Sánchez de que protegerá la "soberanía británica" de Gibraltar | Internacional🔴Y nosotros la verja.</t>
  </si>
  <si>
    <t>https://okdiario.com/espana/2018/11/21/sanchez-mando-coche-oficial-vacio-valladolid-hacer-8-kms-del-aeropuerto-ciudad-3377374#.W_bwVnHLbps.twitter</t>
  </si>
  <si>
    <t>https://okdiario.com/espana/2018/11/22/sanchez-inicia-primera-visita-lider-europeo-dictador-cubano-diaz-canel-3380653#.W_bwO_TbbaE.twitter</t>
  </si>
  <si>
    <t xml:space="preserve">Sevilla </t>
  </si>
  <si>
    <t>http://Ingeniero.Soy ESPAÑOL 🇪🇸.Escribe lo que creas oportuno, pero no insultes, artículo 20 de la constitución.Mi pasión el avión.</t>
  </si>
  <si>
    <t>Pedro Sánchez es una vergüenza para españa es un indecente sin dignidad un rastrero narcisista .</t>
  </si>
  <si>
    <t>Francisco Membrilla</t>
  </si>
  <si>
    <t>https://okdiario.com/espana/2018/11/22/sanchez-inicia-primera-visita-lider-europeo-dictador-cubano-diaz-canel-3380653#.W_bhGjSU1Z0.facebook</t>
  </si>
  <si>
    <t>Asesor inmobiliario.</t>
  </si>
  <si>
    <t>pili amigo🇪🇸🇪🇸</t>
  </si>
  <si>
    <t>Theresa May advierte a Pedro Sánchez de que protegerá la "soberanía británica" de Gibraltar  Compartido desde Discover</t>
  </si>
  <si>
    <t>Morgana</t>
  </si>
  <si>
    <t>Genial! Entiendo que los contratados en el Exterior(7000) estamos incluidos. Gracias! @sanchezcastejon @CsifExteriores</t>
  </si>
  <si>
    <t>https://www.elconfidencialdigital.com/articulo/dinero/primer-decretazo-pedro-sanchez-subida-300-euros-funcionarios/20181119192406118305.htmlv</t>
  </si>
  <si>
    <t>María Sol GLEZ SANT</t>
  </si>
  <si>
    <t>HONOR A LOS QUE DAN SU VIDA POR AMOR, SIN DUDAR. 🙏➕🙏➕🙏 "ZAFARRANCHO ORACIÓN" POR LA PAZ EN SYRIA... POR LA CONVERSIÓN DE ESPAÑA,</t>
  </si>
  <si>
    <t>Lord Satanas 666</t>
  </si>
  <si>
    <t>Pedro Sánchez: CAMBIEN LA LEY DEL MENOR YA!! - ¡Firma la petición!  vía @change_es</t>
  </si>
  <si>
    <t>http://chng.it/VV2wDkhg</t>
  </si>
  <si>
    <t>Sirenas y abucheos en honor de Pedro Sánchez a su llegada a Valladolid; esto no se verá en las televisiones.</t>
  </si>
  <si>
    <t>pic.twitter.com/M889bFVHht</t>
  </si>
  <si>
    <t>Pyramid Consulting</t>
  </si>
  <si>
    <t>Pedro Sánchez al sector de automoción: 20 años son suficientes para hacer la transición al coche eléctrico  vía @elmundoes #Gobierno #Automoción #Coches</t>
  </si>
  <si>
    <t>http://ow.ly/RJHg30mIbgU</t>
  </si>
  <si>
    <t>¡Recurre tus #multas de #tráfico antes de pagarlas! @Multayuda es un servicio de recursos de expertos en leyes de seguridad vial, ordenación y #transportes.</t>
  </si>
  <si>
    <t>http://www.multayuda.com</t>
  </si>
  <si>
    <t>POLLASTRE</t>
  </si>
  <si>
    <t>Ver "Monumental pitada al OCUPA Pedro Sanchez en Valladolid" en YouTube -</t>
  </si>
  <si>
    <t>https://youtu.be/5WicgQ7iG3E</t>
  </si>
  <si>
    <t>Aficionado y socio del valencia, usuario HD y BMW y apasionado de los moviles,republicanos y secesionistas y lazis no los quiero ni ver, VIVA ESPAÑA</t>
  </si>
  <si>
    <t>Riazor.org</t>
  </si>
  <si>
    <t>Natxo González tiene prácticamente a toda su plantilla disponible para el partido entre Deportivo y Osasuna. Sólo dos jugadores se lo perderán por lesión</t>
  </si>
  <si>
    <t>http://bit.ly/2KsEJvJ</t>
  </si>
  <si>
    <t>https://pbs.twimg.com/media/DsoB4cBW0AUjOPY.jpg</t>
  </si>
  <si>
    <t>Twitter oficial de http://Riazor.org. Noticias del RC Deportivo, de sus categorías inferiores y del Femenino. Crónicas de sus partidos, directos, fotos.</t>
  </si>
  <si>
    <t>http://riazor.org</t>
  </si>
  <si>
    <t>El 25 de septiembre de 2018, los presidentes de Cuba @DiazCanelB y España se encontraron en la ONJU e intercambiaron sobre el fortalecimiento de los vínculos sobre la base de la igualdad y el respeto mutuo, y Pedro Sánchez Pérez Castejón aceptó la invitación para visitar #Cuba</t>
  </si>
  <si>
    <t>https://pbs.twimg.com/media/Dsj_E1WU0AAw5qY.jpg</t>
  </si>
  <si>
    <t>José González</t>
  </si>
  <si>
    <t>Pedro Sanchez, debería cesar al ministro Borrell, por su interpretación tan falsa, que ayuda a contaminar, impresentable el Ministro</t>
  </si>
  <si>
    <t>Badalona, Catalunya</t>
  </si>
  <si>
    <t>Olegario Sainz</t>
  </si>
  <si>
    <t>Presidente de España, Pedro Sánchez, inicia hoy su visita oficial a Cuba.</t>
  </si>
  <si>
    <t>https://cubamaintenant.wordpress.com/2018/11/22/presidente-de-espana-pedro-sanchez-inicia-hoy-su-visita-oficial-a-cuba/</t>
  </si>
  <si>
    <t>https://pbs.twimg.com/media/DsoBYK1UcAArBDO.jpg</t>
  </si>
  <si>
    <t>Vitry sur Seine-Francia</t>
  </si>
  <si>
    <t>Jubilado, free lance en sector turistico, donde he trabajado desde el año 1978 en distintas responsabilidades en Cuba y en Francia</t>
  </si>
  <si>
    <t>http://www.cubamaintenant.wordpress.com</t>
  </si>
  <si>
    <t>La Demajagua</t>
  </si>
  <si>
    <t>Llegará hoy a Cuba Pedro Sánchez Pérez, presidente del Gobierno de España - La Demajagua</t>
  </si>
  <si>
    <t>http://lademajagua.cu/llegara-hoy-cuba-pedro-sanchez-perez-presidente-del-gobierno-espana/</t>
  </si>
  <si>
    <t>Diario digital de la provincia de Granma, Cuba... síguenos y así estarás al lado de la noticia.</t>
  </si>
  <si>
    <t>http://www.lademajagua.cu</t>
  </si>
  <si>
    <t>Pedro Sánchez pide “disculpas a la sociedad” por el “espectáculo” del Congreso</t>
  </si>
  <si>
    <t>https://www.elplural.com/politica/espana/pedro-sanchez-gabriel-rufian-borrell-perdon-sociedad-facebook_206764102</t>
  </si>
  <si>
    <t>Gloria</t>
  </si>
  <si>
    <t>Theresa May advierte a Pedro Sánchez de que protegerá la "soberanía británica" de Gibraltar La ley del embudo, y como siempre la parte estrecha para España. Menos lobos Caperucita May.  vía @elmundoes</t>
  </si>
  <si>
    <t>Finance, Cybersecurity, Criminology, Gender violence</t>
  </si>
  <si>
    <t>M. Luisa ن</t>
  </si>
  <si>
    <t>http://www.citizengo.org/hazteoir/166670-no-expolie-por-segunda-vez-archivo-salamanca?tc=tw&amp;tcid=52306865</t>
  </si>
  <si>
    <t>ImpactoCNA</t>
  </si>
  <si>
    <t>Pedro Sánchez, jefe del gobierno español, no se reunirá con la disidencia durante su estadía en Cuba -</t>
  </si>
  <si>
    <t>https://go.shr.lc/2PKNozD</t>
  </si>
  <si>
    <t>Miami, FLA</t>
  </si>
  <si>
    <t>El qué y el porqué de lo que ocurre.</t>
  </si>
  <si>
    <t>http://www.impactoCNA.com</t>
  </si>
  <si>
    <t>Fran.</t>
  </si>
  <si>
    <t>Lo que Pedro Sánchez hace a los autónomos vs. las vísperas de las elecciones. RT @horrorlosers: No, no es un concept art perdido de Hellraiser. Esta cruenta pintura del Martirio de San Bartolomé aparece en el santoral húngaro 'Anjou legendary' (1325-1335), gentileza de la Morgan Library &amp; Museum.</t>
  </si>
  <si>
    <t>https://twitter.com/horrorlosers/status/1064907758565289984</t>
  </si>
  <si>
    <t>https://pbs.twimg.com/media/DsdPZTSXQAAgbiU.jpg</t>
  </si>
  <si>
    <t>Siempre aquí.</t>
  </si>
  <si>
    <t>Nada en exceso.S.S.P.</t>
  </si>
  <si>
    <t>http://instagram.com/fran864</t>
  </si>
  <si>
    <t>ANA B. ABA 990200</t>
  </si>
  <si>
    <t>No hay peor tiranía q la q se ejerce a la sombra d las leyes y bajo el calor d la justicia. Montesquieu. #SalvaTuVoto #LATAM #Libertad. Mi RT no es un aval.</t>
  </si>
  <si>
    <t>#Turismo Restaurante de la semana: Bagá, la nueva joya culinaria de Andalucía</t>
  </si>
  <si>
    <t>http://bit.ly/2DpayEb</t>
  </si>
  <si>
    <t>jalocu1960</t>
  </si>
  <si>
    <t>https://okdiario.com/espana/2018/11/21/sanchez-mando-coche-oficial-vacio-valladolid-hacer-8-kms-del-aeropuerto-ciudad-3377374#.W_bssHPYhI8.twitter</t>
  </si>
  <si>
    <t>Pascual Marti</t>
  </si>
  <si>
    <t>Pedro Sánchez no cree que Bankia deba seguir siendo pública  vía @levante_emv</t>
  </si>
  <si>
    <t>https://www.levante-emv.com/economia/2018/11/22/pedro-sanchez-cree-bankia-deba/1798553.html</t>
  </si>
  <si>
    <t>Alzira, Comunidad Valenciana</t>
  </si>
  <si>
    <t>Mediador de Seguros.</t>
  </si>
  <si>
    <t>LUIS LUIS LUIS</t>
  </si>
  <si>
    <t>FRANCO VENCIO A LOS ROJOS ...Y PUSO al REY Padre del QUE AHORA DEFIENDE PEDRO SANCHEZ ja ja ji ji</t>
  </si>
  <si>
    <t>ESPAÑA   ANDALUCIA</t>
  </si>
  <si>
    <t>Trabajo y trabajo</t>
  </si>
  <si>
    <t>Pilar Fernandez</t>
  </si>
  <si>
    <t>Theresa May advierte a Pedro Sánchez de que protegerá la "soberanía británica" de Gibraltar #spanishpress #BrexitShambles #Gibraltar #Spain #UK #PoliticalDeclaration  vía @elmundoes</t>
  </si>
  <si>
    <t>Galega e internacionalista / Galician &amp; internationalist -Master reiki 🙌- Naturopathy -Galiza &amp; Scotland - Media observer &amp; collaborator 🧐- Blogger 🤓-Rugby</t>
  </si>
  <si>
    <t>http://www.pilaraymara.com</t>
  </si>
  <si>
    <t>Don describe el vergonzoso "Viaje a Cuba" de Pedro Sánchez. via 📣 7OO LIBERTAD FUNDAMENTANTE, Rendición, Caracas, REPUBLICANISMO, LA SOCIEDAD CIVIL, Dictadura, ÚltimaHora, FORMA REPUBLICANA, ESTAR EN CAMPAÑA, LibConstituyente,</t>
  </si>
  <si>
    <t>(((Indy)))</t>
  </si>
  <si>
    <t>Theresa May le dice a Pedro Sànchez que de Gibraltar ni hablar. La gran mayoría de catalanes 10 años pidiendo que nos escuchen. ¿Como te lo has tomado @sanchezcastejon ? ¿Como te sientes? 🤔</t>
  </si>
  <si>
    <t xml:space="preserve">Republica de Catalunya </t>
  </si>
  <si>
    <t>Despierto en un país adormecido.</t>
  </si>
  <si>
    <t>Luis Losada ن</t>
  </si>
  <si>
    <t>Pedro Sánchez le ofrece a Torra ensuciar el Estatuto q supuestamente había quedado limpio como una patena</t>
  </si>
  <si>
    <t>http://www.elmundo.es/cataluna/2018/06/10/5b1c2af8e5fdeaf4078b46a9.html</t>
  </si>
  <si>
    <t>El periodismo es en lo externo una profesión y en lo interno un sacerdocio. José Ignacio Rivero, director del Diario de la Marina (Cuba)</t>
  </si>
  <si>
    <t>http://about.me/luislosada</t>
  </si>
  <si>
    <t>Robespedrete</t>
  </si>
  <si>
    <t>http://www.citizengo.org/hazteoir/166670-no-expolie-por-segunda-vez-archivo-salamanca?tc=tw&amp;tcid=52306761</t>
  </si>
  <si>
    <t>Qué divertido es........todo esto</t>
  </si>
  <si>
    <t>La información secreta sobre el suegro de Pedro Sánchez que le hará sudar más que en una sauna gay</t>
  </si>
  <si>
    <t>https://www.periodistadigital.com/politica/partidos-politicos/2018/11/20/la-informacion-secreta-sobre-el-suegro-de-pedro-sanchez-que-le-hara-sudar-mas-que-en-una-sauna.shtml#.W_brpTk1t8o.twitter</t>
  </si>
  <si>
    <t>Javier F. Ferrero</t>
  </si>
  <si>
    <t>Mi ilustración para el artículo de @LuisAneiros en @NuevaRevoluci0n 'Pedro Sánchez, el paso atrás de la izquierda'. Puedes leerlo aquí :</t>
  </si>
  <si>
    <t>https://pbs.twimg.com/media/Dsn-302XcAA-HaI.jpg</t>
  </si>
  <si>
    <t>Ecologista y animalista por lógica. Firme aliado feminista. Dirijo @nuevarevoluci0n y @_contrainfo. A veces dibujo.</t>
  </si>
  <si>
    <t>Despues tienen la desvergüenza de deciros que os apreteis el cinturón y pagueis mas impuestos Pedro Sánchez mandó su coche oficial vacío a Valladolid para hacer los 8 kms del aeropuerto a la ciudad</t>
  </si>
  <si>
    <t>Xisca The Warrior</t>
  </si>
  <si>
    <t>He visto un vídeo tal de "El verdadero Pedro Sánchez" que me han dado ganas de que nos lo impusiera la UE como Virrey de las Españas durante 20 años, con sus poses seductoras -hasta sus peores enemigos lo reconocen PDRO 😏- su narcisismo, su colección de fracasos y sus complejos.</t>
  </si>
  <si>
    <t>Isla Olvidada en Fistro Jurídico Of Spain, Eternidad de las Magical Paradas de Larga Duración</t>
  </si>
  <si>
    <t>Vamos a quemar toda la ciudad y será sólo de Xisca ♀️✨📚-Izquierda Fanfic http://xiscally.blogspot.com.es/ http://xiscthulhu.tumblr.com/</t>
  </si>
  <si>
    <t>https://www.wattpad.com/user/Xiscthulhu</t>
  </si>
  <si>
    <t>Pedro Sánchez pilla el F18 y llega a Cuba seis horas antes que su comitiva.</t>
  </si>
  <si>
    <t>https://pbs.twimg.com/media/Dsn-PjoXoAEaN10.jpg</t>
  </si>
  <si>
    <t>J.L.</t>
  </si>
  <si>
    <t>¿Como van a defender a Borrell? El PSOE, esta secuestrado.</t>
  </si>
  <si>
    <t>https://www.google.es/amp/s/www.elconfidencial.com/amp/espana/cataluna/2018-11-21/erc-pide-pedro-sanchez-evite-elecciones_1658806/</t>
  </si>
  <si>
    <t>Cuatro Vientos, Madrid</t>
  </si>
  <si>
    <t>https://m.youtube.com/watch?v=h7sAfRkP5SM</t>
  </si>
  <si>
    <t>Héctor Millano</t>
  </si>
  <si>
    <t>A pesar de que hoy Ángel Gurría (OCDE) ha dado varias recomendaciones para sostener el sistema de pensiones de España que pueden ser mal recibidas por la gente, lo cierto es que es favorable al Gobierno de Pedro Sánchez.</t>
  </si>
  <si>
    <t>Madrid (h.millano@outlook.com)</t>
  </si>
  <si>
    <t>Periodista. Economía en @europapress. Escribo de petróleo, banca central, divisas, empresas extranjeras y más. Aprendí en @expansioncom y en @porCausaorg.</t>
  </si>
  <si>
    <t>http://guiltybit.com</t>
  </si>
  <si>
    <t>ERC sabe Q gobernando el PP nunca tendrá Cataluña la independencia también sabe Q gobernando Pedro Sánchez SI la tendrá RT @SSarelvis67: Si claro, cuando usted diga hombre!! A que hora le viene bien? Será posible!!! #ElPSOEDaSeguridad En @elconfidencial: ERC pide a Pedro Sánchez que aguante, evite elecciones y espere su apoyo no ahora sino en otoño.</t>
  </si>
  <si>
    <t>https://pbs.twimg.com/media/Dsl9JaRVAAAFmGz.jpg</t>
  </si>
  <si>
    <t>https://twitter.com/SSarelvis67/status/1065628362364907521
https://www.elconfidencial.com/espana/cataluna/2018-11-21/erc-pide-pedro-sanchez-evite-elecciones_1658806/?utm_source=twitter&amp;utm_medium=social&amp;utm_campaign=BotoneraWeb</t>
  </si>
  <si>
    <t>Enrique Clemente</t>
  </si>
  <si>
    <t>Otra foto de Pedro Sánchez con un dictador recibiendo un caballo. Ah no, que es el padrino de Pablo Casado...</t>
  </si>
  <si>
    <t>https://pbs.twimg.com/media/Dsn9qyeXQAISCX4.jpg</t>
  </si>
  <si>
    <t>Analista político y columnista de La Voz de Galicia en Madrid. También escribo de libros. Ex Diario 16</t>
  </si>
  <si>
    <t>maria Rosa</t>
  </si>
  <si>
    <t>Pedro Sánchez no verá a la oposición cubana para no desairar al castrismo en su viaje a la isla  vía @elmundoesno va porque no son de su cuerda, él verá a sus amigos Los totalitarios.</t>
  </si>
  <si>
    <t>Sol Carreras</t>
  </si>
  <si>
    <t>El Gobierno prevé destinar 6.000 millones a modernizar la red de Cercanías en la Comunidad de Madrid,más de lo comprometido en su día por Rajoy. Pedro Sánchez lo anuncia a Ángel Garrido tras reunirse con él en La Moncloa pero el presidente regional no lo desvela a los medios</t>
  </si>
  <si>
    <t>Periodista de la Agencia Efe especializada en información parlamentaria de la Asamblea de Madrid, mi segunda casa. Esta cuenta de Twitter es personal</t>
  </si>
  <si>
    <t>Juan Pablo Tusquets</t>
  </si>
  <si>
    <t>Pedro Sánchez gasta cerca de un millón de euros para poner a punto la luz y la calefacción de La Moncloa Donde está la Moncloa, en Siberia?</t>
  </si>
  <si>
    <t>https://okdiario.com/espana/2018/11/20/sanchez-gasta-cerca-millon-euros-poner-punto-luz-calefaccion-moncloa-3372360#.W_bqEk7LZOA.twitter</t>
  </si>
  <si>
    <t>Desde hace 25 años dedicado a la gestión de inversiones. Presidente de ACAPITAL BB Agencia de Valores. Peritajes sobre instrumentos financieros complejos</t>
  </si>
  <si>
    <t>http://www.acapital.es</t>
  </si>
  <si>
    <t>Pero si es Pedro Sánchez confraternizando con el dictador cubano.... Casado tiene razón, es una vergüenza</t>
  </si>
  <si>
    <t>https://pbs.twimg.com/media/Dsn9P-XWwAA8eCn.jpg</t>
  </si>
  <si>
    <t>Pepe</t>
  </si>
  <si>
    <t>Pedro Sánchez ha de demostrar que es más español que nadie, Borrell style. La fiscalia es un nido de testosterona legionaria. Y dejar espacios para votar es muy mal. RT @jordimondragon: La Fiscal General de l'Estat, Maria José Segarra, la fiscal "progre" apunta querelles contra més de 100 alcaldes per l'1-O</t>
  </si>
  <si>
    <t>https://twitter.com/jordimondragon/status/1065659435295612928
https://elmon.cat/politica/fiscalia-apunta-que-hi-haura-querelles-contra-alcaldes-l1</t>
  </si>
  <si>
    <t>Meridià 0 i rodalies</t>
  </si>
  <si>
    <t>«És preferible la pobresa en una democràcia que el benestar dels poderosos». Demòcrit (460 AC). La cultura i l'escepticisme ens fan una mica menys esclaus.</t>
  </si>
  <si>
    <t>Pedro C. Castillo</t>
  </si>
  <si>
    <t>Brutal pitada ayer a Pedro Sánchez @sanchezcastejon a su llegada a la cumbre Hispanolusa que se celebra en Valladolid</t>
  </si>
  <si>
    <t>https://youtu.be/2z1vuPwM-y0</t>
  </si>
  <si>
    <t>#22nov Colonización ideológica europea #España Más filosofía, menos religión, uso del castellano… estas son las claves de la reforma educativa de Pedro Sánchez</t>
  </si>
  <si>
    <t>https://laicismo.org/mas-filosofia-menos-religion-uso-del-castellano-estas-son-las-claves-de-la-reforma-educativa-de-sanchez/</t>
  </si>
  <si>
    <t>😂 😂 😂 May: "Defenderé la soberanía británica de Gibraltar. Fui absolutamente clara con Pedro Sánchez"  vía @indpcom</t>
  </si>
  <si>
    <t>https://www.elindependiente.com/politica/2018/11/22/may-soberania-britanica-gibraltar-absolutamente-clara-pedro-sanchez/?utm_source=share_buttons&amp;utm_medium=twitter&amp;utm_campaign=social_share</t>
  </si>
  <si>
    <t>Alex</t>
  </si>
  <si>
    <t>Si Pedro Sánchez no defiende a Borrell que es uno de los suyos, imagínate lo que defenderá a los españoles.</t>
  </si>
  <si>
    <t>Elda (Alicante) España</t>
  </si>
  <si>
    <t>Programador - Desarrollador PHP Aprendiendo Laravel y un poco de C# Literatura + Cine + Música Indie</t>
  </si>
  <si>
    <t>Jose L. Garnica</t>
  </si>
  <si>
    <t>http://www.citizengo.org/hazteoir/166670-no-expolie-por-segunda-vez-archivo-salamanca?tc=tw&amp;tcid=52306472</t>
  </si>
  <si>
    <t>HazteOir.org</t>
  </si>
  <si>
    <t>El primer viaje oficial en 32 años pretende "normalizar, estabilizar y profundizar" la relación bilateral entre #España y #Cuba. Sánchez no se verá con miembros de grupos de la oposición.</t>
  </si>
  <si>
    <t>https://www.actuall.com/democracia/pedro-sanchez-viaja-cuba-donde-ignorara-los-opositores-al-regimen/</t>
  </si>
  <si>
    <t>España / Spain</t>
  </si>
  <si>
    <t>Para promover la participación política y defender la vida y la dignidad humana · http://www.facebook.com/HazteOir.org · https://google.com/+hazteoir</t>
  </si>
  <si>
    <t>http://www.hazteoir.org</t>
  </si>
  <si>
    <t>Actuall</t>
  </si>
  <si>
    <t>Pedro Sánchez viaja a Cuba donde ignorará a los opositores al régimen</t>
  </si>
  <si>
    <t>http://ow.ly/B5BE30mIabq</t>
  </si>
  <si>
    <t>Periodismo de buenas causas. Actualidad para saber y actuar. Provida, profamilia, comprometido con la libertad.</t>
  </si>
  <si>
    <t>http://www.actuall.com</t>
  </si>
  <si>
    <t>francisco baena</t>
  </si>
  <si>
    <t>Ocurrencias</t>
  </si>
  <si>
    <t>NACE EN 1964, HIJO UNICO HIJO DE MILITAR E HIJO DE VIUDA, LCDO EN DERECHO, ABOGADO 22 AÑOS DE EJERCICIO,</t>
  </si>
  <si>
    <t>en #Plasencia tenemos a un alcalde que sube memes de cuñaos a sus redes sociales. qué casualidad que va bajo las siglas del PP, oye. En una publicación tildaba a Pedro Sánchez de populista venezolano y dejaba caer que le llamaba tonto por ser comunista. P.Sánchez comunista...😂</t>
  </si>
  <si>
    <t>Extremaydura</t>
  </si>
  <si>
    <t>Sé tú mism@ y mantente fuerte. 17/07/16.</t>
  </si>
  <si>
    <t>Político.pe</t>
  </si>
  <si>
    <t>Carta de .@AlanGarciaPeru: “Fiscal de la Nación que sucedió a Peláez, Dr. Pedro Sánchez, ordenó en junio 2018 archivamiento de nuevas investigaciones sobre lo ya investigado, por ninguna vinculación con delito o enriquecimiento patrimonial”</t>
  </si>
  <si>
    <t>May: "Defenderé la soberanía británica de Gibraltar. Fui absolutamente clara con Pedro Sánchez" @sanchezcastejon fue usted claro con ella? #GibraltarEspañol  vía @indpcom</t>
  </si>
  <si>
    <t>http://politico.pe/alan-garcia-a-la-opinion-publica-peruana/</t>
  </si>
  <si>
    <t>https://pbs.twimg.com/media/DsisBMoXoAALDGp.jpg</t>
  </si>
  <si>
    <t>Las noticias las puedes leer en cualquier parte; las mejores opiniones, solo aquí. Politico.pe, un portal de pocas palabras.</t>
  </si>
  <si>
    <t>http://www.politico.pe</t>
  </si>
  <si>
    <t>Por si Pedro Sánchez se pensaba que el tema de su tesis Cum Fraude estaba olvidado.</t>
  </si>
  <si>
    <t>#LaEspañaVIVA</t>
  </si>
  <si>
    <t>https://pbs.twimg.com/media/Dsn6016WkAE9X07.jpg</t>
  </si>
  <si>
    <t>Hay un camino a la DERECHA</t>
  </si>
  <si>
    <t>#VOX Liberal Conservador Católico #VOX Mi equipo tiene 13 Copas de Europa, ¿y el tuyo? #EleccionesYA #ProvidaApesarDelPP</t>
  </si>
  <si>
    <t>May: "Defenderé la soberanía británica de Gibraltar. Fui absolutamente clara con Pedro Sánchez"  vía @indpcom</t>
  </si>
  <si>
    <t>Israel LM Elizondo</t>
  </si>
  <si>
    <t>Llega el presidente español Pedro Sánchez para fortalecer la cooperación bilateral  vía @InfoNodal</t>
  </si>
  <si>
    <t>https://www.nodal.am/2018/11/llega-el-presidente-espanol-pedro-sanchez-para-fortalecer-la-cooperacion-bilateral/</t>
  </si>
  <si>
    <t>En el ombligo del mundo</t>
  </si>
  <si>
    <t>Columnista en la @JornadaSanLuis. Estudiante de Doctorado en Estudios Latinoamericanos. Catedrático @UASLPAutonoma.</t>
  </si>
  <si>
    <t>http://lajornadasanluis.com.mx/seccion/opinion/israel-lopez-monsivais/</t>
  </si>
  <si>
    <t>Manuel#PRISIONES</t>
  </si>
  <si>
    <t>"@GuajeSalvaje: Menuda pitada del club de fans de Pedro Sánchez en Valladolid. ¿Se habrá visto en televisión? "</t>
  </si>
  <si>
    <t>pic.twitter.com/IZ5UW7uMzR</t>
  </si>
  <si>
    <t>Libertario</t>
  </si>
  <si>
    <t>Pedro Sanchez, criminal que se llena las manos de sangre visitando la peor dictadura del siglo RT @FelixLlerenaCUB: Pedro Sánchez @sanchezcastejon llega hoy a #Cuba ,le recuerdo que en mi país NO HAY DEMOCRACIA, que en mi país existe un PARTIDO ÚNICO que CRIMINALIZA a quien no se someta a sus órdenes, que existen PRESOS POLÍTICOS, que se violan DERECHOS elementales. No se olvide de esto!!</t>
  </si>
  <si>
    <t>Nueva Esparta, Venezuela</t>
  </si>
  <si>
    <t>Jamás aceptaremos el comunismo castro chavista</t>
  </si>
  <si>
    <t>Mikel Arteaga</t>
  </si>
  <si>
    <t>Manuel J. Guzmán</t>
  </si>
  <si>
    <t>"La Comisión Europea no doctora a Pedro Sánchez" Por José María Rotellar</t>
  </si>
  <si>
    <t>https://pbs.twimg.com/media/Dsn56ddXcAIN5_K.jpg</t>
  </si>
  <si>
    <t>37°53'00 N 04°46'00 O</t>
  </si>
  <si>
    <t>Opinión de: F. Jiménez Losantos, Hermann Tertsch, César Vidal, Antonio Burgos, Isabel San Sebastián, J. Ramón Rallo, C. Rodríguez Braun, John Müller... TT</t>
  </si>
  <si>
    <t>"Que no haya ido un presidente español en 30 años cuando están allí nuestras empresas demuestra que la política va detrás de la realidad", decía @sanchezcastejon en septiembre. Expectativas sobre la #visita del presidente español a #LaHabana  #CubaEspaña</t>
  </si>
  <si>
    <t>https://pbs.twimg.com/media/DsnrbF1VYAA1bCS.jpg</t>
  </si>
  <si>
    <t>fausto mochales</t>
  </si>
  <si>
    <t>Me gusta la Unidad de España</t>
  </si>
  <si>
    <t>Francesc 🇪🇸🇪🇺</t>
  </si>
  <si>
    <t>Vaya!...alguien más preocupado por su país que por su poltrona!! Theresa May advierte a Pedro Sánchez de que protegerá la "soberanía británica" de Gibraltar @elmundoes</t>
  </si>
  <si>
    <t>ESPAÑA Cataluña Barcelona</t>
  </si>
  <si>
    <t>Creo en la Unidad de España y que juntos siempre conseguiremos más que separados. Y esta claro que no aprendemos de nuestros errores.</t>
  </si>
  <si>
    <t>https://mobile.twitter.com/fgbfrancisco</t>
  </si>
  <si>
    <t>B. Páramo</t>
  </si>
  <si>
    <t>El PP pidiendo a Pedro Sánchez que cese a ministros reprobados por el Congreso 😂😂😂😂</t>
  </si>
  <si>
    <t>Monitor scout en @scoutsSJA Responsable del Área de Imagen y Comunicación de @mscjerez Estudiante del Doble Grado de PER y CAV en Sevilla. ATM.</t>
  </si>
  <si>
    <t>CONDUCE TU CIUDAD</t>
  </si>
  <si>
    <t>Pedro Sánchez: España necesita al coche eléctrico para mantener sus niveles de exportación</t>
  </si>
  <si>
    <t>http://dlvr.it/QrsmJ8</t>
  </si>
  <si>
    <t>https://pbs.twimg.com/media/Dsn5GZwUUAAcwyh.jpg</t>
  </si>
  <si>
    <t>Especialistas en la recarga de coches eléctricos. Ciudadanos inteligentes para ciudades inteligentes.</t>
  </si>
  <si>
    <t>http://www.conducetuciudad.com</t>
  </si>
  <si>
    <t>José Gallego</t>
  </si>
  <si>
    <t>¿La monarquía divide? Claro, y Rajoy, Pedro Sánchez o P. Iglesias unifican al país... Una monarquía parlamentaria es un lujo, aunque algunos no se atrevan a defenderlo. RT @Irene_Montero_: La monarquía es hoy una institución que divide. España necesita más democracia, más fraternidad, menos privilegios para los de siempre, más igualdad. Es lo que escribe hoy @Pablo_Iglesias_ en este artículo👇🏽🗞 #ParaQuéSirveLaMonarquía</t>
  </si>
  <si>
    <t>https://twitter.com/irene_montero_/status/1065545602002546688
https://elpais.com/elpais/2018/11/21/opinion/1542806031_921444.html</t>
  </si>
  <si>
    <t>Reporter from Spain in the US. Foreign Contributing Writer for @elespanolcom. Previously at Europa Press, El Correo de Andalucía, El Correo TV🇪🇺🇪🇸🇺🇸UCSD Student</t>
  </si>
  <si>
    <t>http://www.elespanol.com/jose_gallego/</t>
  </si>
  <si>
    <t>Ana María</t>
  </si>
  <si>
    <t>Marbella          España</t>
  </si>
  <si>
    <t>La vida es una navegación difícil sin una buena brújula.</t>
  </si>
  <si>
    <t>Así se sienten Pedro Sánchez y la Bego en el Falcon</t>
  </si>
  <si>
    <t>pic.twitter.com/KUMearxFPM</t>
  </si>
  <si>
    <t>Alfonzo Otero H.</t>
  </si>
  <si>
    <t>Lic.en Educación (Historia)..Einstein: Entre un ignorante y un estúpido prefiero el ignorante: La ignorancia tiene solución pero la estupidez es eterna</t>
  </si>
  <si>
    <t>http://hotmail.com</t>
  </si>
  <si>
    <t>Noelia</t>
  </si>
  <si>
    <t>Miedo a abrir el Twitter y leer que Pedro Sánchez va camino de Cuba en la fragata Blas de Lezo...</t>
  </si>
  <si>
    <t>Ser buena persona no significa dejar que te pisoteen</t>
  </si>
  <si>
    <t>Alejandro Benítez</t>
  </si>
  <si>
    <t>El Gobierno de Pedro Sánchez sube la cuota mínima de autónomos casi ochenta euros al año. El PSOE volverá a acabar de nuevo con la España que madruga, que levanta la persiana para abrir su negocio. Acabaron con la economía una vez y volverán a hacerlo.</t>
  </si>
  <si>
    <t>https://pbs.twimg.com/media/Dsn4Mw0WwAAEG5Q.jpg</t>
  </si>
  <si>
    <t>No puedo verme quieto y escribo. Estudiante de Sociología y Ciencia Política y de la Administración. Defendiendo la libertad como sinónimo de responsabilidad.</t>
  </si>
  <si>
    <t>https://abenitezlopez.wordpress.com</t>
  </si>
  <si>
    <t>El viaje a Cuba de Pedro Sánchez  via @Españoles de Cuba</t>
  </si>
  <si>
    <t>https://espanolesdecuba.es/el-viaje-a-cuba-de-pedro-sanchez/</t>
  </si>
  <si>
    <t>Pedro V</t>
  </si>
  <si>
    <t>http://www.citizengo.org/hazteoir/166670-no-expolie-por-segunda-vez-archivo-salamanca?tc=tw&amp;tcid=52306193</t>
  </si>
  <si>
    <t>𝑭𝒆𝒍𝒊𝒙 𝑳𝒍𝒆𝒓𝒆𝒏𝒂 𝑪𝒖𝒃𝒂</t>
  </si>
  <si>
    <t>Pedro Sánchez @sanchezcastejon llega hoy a #Cuba ,le recuerdo que en mi país NO HAY DEMOCRACIA, que en mi país existe un PARTIDO ÚNICO que CRIMINALIZA a quien no se someta a sus órdenes, que existen PRESOS POLÍTICOS, que se violan DERECHOS elementales. No se olvide de esto!!</t>
  </si>
  <si>
    <t>EMBACUBA SAN VICENTE</t>
  </si>
  <si>
    <t>http://www.acn.cu/cuba/39276-llegara-hoy-a-cuba-pedro-sanchez-perez-presidente-del-gobierno-de-espana</t>
  </si>
  <si>
    <t>https://pbs.twimg.com/media/Dsn3MEwWsAEWFRp.jpg</t>
  </si>
  <si>
    <t>Activista Cubano 🇨🇺 Pro-Democracia. Defensor de los Derechos Humanos. #Libertad para mi país. ¡¡Cuba es de todos los cubanos!! #NoMásDictadura #NoMasOdio.</t>
  </si>
  <si>
    <t>http://Instagram.com/@felixllerenacub</t>
  </si>
  <si>
    <t>Video: Presidente del gobierno español Pedro Sánchez visitará Cuba  #España</t>
  </si>
  <si>
    <t>http://bit.ly/2OV1OYJ</t>
  </si>
  <si>
    <t>Noticias Municipios</t>
  </si>
  <si>
    <t>#REGIONAL / Pedro Sánchez y Ángel Garrido se reúnen para debatir asuntos sobre la Comunidad</t>
  </si>
  <si>
    <t>http://bit.ly/2Rb4qDP</t>
  </si>
  <si>
    <t>Las noticias de la Zona Sur de Madrid en tu Periódico Digital. Para que sepas lo que pasa cerca de ti #Getafe #Leganés #Alcorcón #Parla #Móstoles #Fuenlabrada</t>
  </si>
  <si>
    <t>http://www.noticiasparamunicipios.com</t>
  </si>
  <si>
    <t>Iznaga❌</t>
  </si>
  <si>
    <t>Es que Pedro Sánchez es inútil y parcial...y extraordinariamente hipócrita La solución d Cuba tiene q salir d dentro d Cuba, es inútil seguir poniendo esperanzas en los dirigentes demagogos izquierdistas extranjeros q van a la Isla RT @yoanisanchez: Si el avión de Pedro Sánchez despega de esta Isla sin que el mandatario haya escuchado otra versión de la realidad que la del Palacio de la Revolución, este habrá sido un viaje inútil y parcial #SánchezCuba</t>
  </si>
  <si>
    <t>USA+España+Cuba. Liberal Europea/American Conservative. En blanco y negro. Above all, Freedom &amp; Personal Responsibility...y dejémonos de chorradas</t>
  </si>
  <si>
    <t>Pep ☘️</t>
  </si>
  <si>
    <t>Pero Madrid Central es malo y Pedro Sánchez prohibiendo los coches de combustión también RT @abc_es: La concentración de gases de efecto invernadero ha alcanzado un nuevo récord y actualmente es la más alta desde que existen registros metereológicos, según la Organización Metereológica Mundial</t>
  </si>
  <si>
    <t>https://twitter.com/abc_es/status/1065653636271874048
http://ver.abc.es/clnmt2</t>
  </si>
  <si>
    <t>Galway, Irlanda</t>
  </si>
  <si>
    <t>📚 Filología 🎓 ⚜️ Scout 🇪🇺 Europeísta, republicano y socialdemócrata 🌹 Erasmus 🇮🇪</t>
  </si>
  <si>
    <t>https://instagram.com/pep_caceres</t>
  </si>
  <si>
    <t>Ceuta Televisión</t>
  </si>
  <si>
    <t>ENCUENTRO VIVAS BATER – Ha servido preparar la reunión Pedro Sánchez</t>
  </si>
  <si>
    <t>http://ceutatv.com/art/10248/el-encuentro-vivas-batet-propicia-un-convenio-para-la-frontera</t>
  </si>
  <si>
    <t>https://pbs.twimg.com/media/Dsn2qsDUwAAc7f0.jpg</t>
  </si>
  <si>
    <t>Información, entretenimiento, debate y actualidad</t>
  </si>
  <si>
    <t>http://www.ceutatv.com</t>
  </si>
  <si>
    <t>MANUEL GARCIA</t>
  </si>
  <si>
    <t>“La chulería de Rufián es la hipoteca de Pedro Sánchez”  vía @YouTube</t>
  </si>
  <si>
    <t>https://youtu.be/zTXmqeXQ3Bo</t>
  </si>
  <si>
    <t>Luis G.</t>
  </si>
  <si>
    <t>Si estará al tanto @petrogustavo de las exigencias de la OCDE al gobierno de Pedro Sánchez en España? ¿En un hipotético caso de ser elegido presidente, acataría tales exigencias para Colombia? ¿Su voto a favor del ingreso del país al organismo es un respaldo a esas medidas?</t>
  </si>
  <si>
    <t>Cartagena, Colombia</t>
  </si>
  <si>
    <t>Trabajador social de la @Uni_cartagena|| Cristiano📖 ||Voto por el senador @Jerobledo|| No tomo, no fumo, no me drogo. Mi único vicio son los libros 📚</t>
  </si>
  <si>
    <t>“La España que madruga”, “Gibraltar español”, “La catedral —no mezquita— de Córdoba”, “el cortijo de Susana Díaz”, el “infierno fiscal” de Pedro Sánchez, el “amigo de los golpistas”… Son frases repetidas por VOX y PP.</t>
  </si>
  <si>
    <t>https://elpais.com/politica/2018/11/22/actualidad/1542844409_768373.html?id_externo_rsoc=FB_CC</t>
  </si>
  <si>
    <t>https://okdiario.com/espana/2018/11/21/sanchez-mando-coche-oficial-vacio-valladolid-hacer-8-kms-del-aeropuerto-ciudad-3377374#.W_bi1ju_TIF.twitter</t>
  </si>
  <si>
    <t>¿Entonces cuando va a quitar Pedro Sánchez el busto a Largo Caballero en Nuevos Ministerios?</t>
  </si>
  <si>
    <t>https://okdiario.com/espana/2018/11/21/sanchez-mando-coche-oficial-vacio-valladolid-hacer-8-kms-del-aeropuerto-ciudad-3377374#.W_biFe5K0jQ.twitter</t>
  </si>
  <si>
    <t>Mª Carmen</t>
  </si>
  <si>
    <t>✪ ANDY PEOR ✪</t>
  </si>
  <si>
    <t>El presidente del Gobierno español, el socialista Pedro Sánchez, no mantendrá ninguna reunión con opositores en la visita oficial</t>
  </si>
  <si>
    <t>https://www.cubanet.org/destacados/espana-cuba-presidente-sanchez/</t>
  </si>
  <si>
    <t>http://about.me/Andy.Peor</t>
  </si>
  <si>
    <t>Víctor Arrogante ✊🔴</t>
  </si>
  <si>
    <t>Marlaska avisa a Villarejo si suelta la "bomba final": "El Estado tiene resortes para que no lo pongan en jaque" (15 noviembre)  vía @eldiarioes</t>
  </si>
  <si>
    <t>Profesor. Ayer y hoy militante por la justicia, la igualdad y la solidaridad. Inmediatamente me di cuenta que era algo por lo que merecía la pena luchar</t>
  </si>
  <si>
    <t>http://www.multiforo.eu</t>
  </si>
  <si>
    <t>RSS_Noticias</t>
  </si>
  <si>
    <t>Theresa May, tras hablar con Pedro Sánchez: "Lograremos un acuerdo para toda la familia de Reino Unido, incluida Gibraltar" , en tendencia viral desde November 22, 2018 at 02:44PM</t>
  </si>
  <si>
    <t>http://bit.ly/2QbdbAm</t>
  </si>
  <si>
    <t>hola(@)josemanuelrodos.es</t>
  </si>
  <si>
    <t>Noticias más compartidas de medios españoles en tiempo real. Un proyecto de @josemanuelrodos en pruebas.</t>
  </si>
  <si>
    <t>COPE Valladolid</t>
  </si>
  <si>
    <t>El @PPSenado pregunta al Gobierno por el coste que ha ocasionado el traslado a #Valladolid del presidente, Pedro Sánchez, para asistir a la #XXXCumbreHispanoLusa Reclaman un desglose de lo que costó la tripulación, el combustible, las comidas y los gastos aeroportuarios.</t>
  </si>
  <si>
    <t>https://pbs.twimg.com/media/Dsn0rggWsAIYtZV.jpg</t>
  </si>
  <si>
    <t>Valladolid, España</t>
  </si>
  <si>
    <t>Twitter oficial de COPE Valladolid. Puedes seguirnos en el 104.5 FM y en el 882 OM. También en COPE más Valladolid, en el 101.2 FM, y en cope.es.</t>
  </si>
  <si>
    <t>http://www.cope.es/valladolid</t>
  </si>
  <si>
    <t>Los blogs de ABC</t>
  </si>
  <si>
    <t>A poco que uno vuelva la vista atrás, y la lleve hasta que Pedro Sánchez ocupó el cargo de Presidente del Gobierno, comprobará las existencia de las dos siguientes realidades: que los errores del nuevo Gobierno han superado notablemente sus aciertos y…</t>
  </si>
  <si>
    <t>http://blog.abc.es/f0wrf1</t>
  </si>
  <si>
    <t>https://pbs.twimg.com/media/Dsn0vDQXoAAXNuV.jpg</t>
  </si>
  <si>
    <t>Todos los blogs de los redactores de @abc_es</t>
  </si>
  <si>
    <t>http://www.abc.es/blogs/</t>
  </si>
  <si>
    <t>1) Que dice Pedro Sánchez que los mausoleos en honor de dictadores están muy mal. Y por eso ha ido a presentar sus respetos en Marruecos al mausoleo de Hassan II, que, como todo el mundo sabe, era un campeón de la democracia</t>
  </si>
  <si>
    <t>https://pbs.twimg.com/media/Dsn0XwiWwAAxIFu.jpg</t>
  </si>
  <si>
    <t>https://okdiario.com/espana/2018/11/22/sanchez-inicia-primera-visita-lider-europeo-dictador-cubano-diaz-canel-3380653#.W_bhMqJFUoE.twitter</t>
  </si>
  <si>
    <t>Paloma Letona</t>
  </si>
  <si>
    <t>https://m.eldiario.es/_31f6512a</t>
  </si>
  <si>
    <t>Trabajo de bibliotecaria, área de e-journals y similares, me gusta. Ademas soy lectura, política, pelis (de las de antes) y música clásica</t>
  </si>
  <si>
    <t>Pedro Sánchez exige disculpas a Casado por el escupitajo de ERC a Borrell...!Está un poco despistadillo, la culpa debe ser de D. Francisco!</t>
  </si>
  <si>
    <t>https://bit.ly/2FwTY82</t>
  </si>
  <si>
    <t>https://twitter.com/elconfidencial/status/1065633867502166017
https://www.elconfidencial.com/mundo/2018-11-22/gibraltar-may-espana-soberania-brexit_1663154/</t>
  </si>
  <si>
    <t>AgronewsCyL</t>
  </si>
  <si>
    <t>COAG advierte de bajadas de precios en las frutas y hortalizas como consecuencia de la huelga de los "chalecos amarillos" en Francia y ASAJA reclama a Pedro Sánchez que actúe</t>
  </si>
  <si>
    <t>https://ift.tt/2FBGqIy</t>
  </si>
  <si>
    <t>Medio de comunicación digital de la agricultura y la ganadería, con Castilla y León como origen pero mirando al mundo - redaccion@agronewscastillayleon.com</t>
  </si>
  <si>
    <t>http://www.agronewscastillayleon.com</t>
  </si>
  <si>
    <t>LUQUENYO</t>
  </si>
  <si>
    <t>Pedro Sánchez pide “disculpas a la sociedad” por el “espectáculo” del Congreso via @El_Plural</t>
  </si>
  <si>
    <t>No soy un perdedor, pero las personas de izquierda siempre nos toca perder,.Adoro tanto la independencia,como aborrezco a los independentistas. Arribistas, etc.</t>
  </si>
  <si>
    <t>Las claves del viaje de Pedro Sánchez a Cuba</t>
  </si>
  <si>
    <t>https://v24news.com/2018/11/las-claves-del-viaje-de-pedro-sanchez-a-cuba/</t>
  </si>
  <si>
    <t>https://pbs.twimg.com/media/Dsn0O70V4AAD0nD.jpg</t>
  </si>
  <si>
    <t>Leopoldo Martín</t>
  </si>
  <si>
    <t>Demoledor, pero impecable: Pedro Sánchez o el ridículo  vía @diariocadiz</t>
  </si>
  <si>
    <t>https://www.diariodecadiz.es/_4da6b08b</t>
  </si>
  <si>
    <t xml:space="preserve"> Cádiz. España</t>
  </si>
  <si>
    <t>Canario, de La Palma (1942).Médico,en Cádiz (1966),de vuelta en 1977,tras Madrid, Paris, Ciudad Real y Jerez. Abonado histórico y accionista del Celta</t>
  </si>
  <si>
    <t>La primera ministra británica y Pedro Sánchez mantuvieron ayer conversaciones sobre Gibraltar</t>
  </si>
  <si>
    <t>http://ow.ly/UUDt30mIw1y</t>
  </si>
  <si>
    <t>Desde 1986, la del presidente de España Pedro Sánchez Pérez Castejón es la primera de carácter oficial que realiza un mandatario ibérico a #Cuba</t>
  </si>
  <si>
    <t>https://pbs.twimg.com/media/Dsj-OrsU0AA1SzL.jpg</t>
  </si>
  <si>
    <t>cuartopoder.es</t>
  </si>
  <si>
    <t>La naranja sudafricana de Joan Baldoví que esconde un mensaje para Pedro Sánchez</t>
  </si>
  <si>
    <t>http://bit.ly/2Ko8Rs5</t>
  </si>
  <si>
    <t>Periodismo para el 99%. Contacto: redaccion[@]cuartopoder[.]es</t>
  </si>
  <si>
    <t>http://www.cuartopoder.es</t>
  </si>
  <si>
    <t>Juan Carlos Luque</t>
  </si>
  <si>
    <t>Lo de este señor no tiene nombre. Tiene a los universitarios españoles muy cabreados porque han reducido becas, tanto para estudiar carreras universitarias como...</t>
  </si>
  <si>
    <t>Málaga   España</t>
  </si>
  <si>
    <t>Ingeniero Industrial, nacido en Córdoba y por motivos profesionales vivo en Málaga. Mi pasión, mi familia y el deporte</t>
  </si>
  <si>
    <t>http://www.aportasport.com</t>
  </si>
  <si>
    <t>"¿En el PP no han escuchado a Rafa Hernando? Es uno de los diputados más broncas y sucios del Hemiciclo" 😳😳😳</t>
  </si>
  <si>
    <t>Libertad⚖️Democracia</t>
  </si>
  <si>
    <t>Pedro Sánchez se ha tomado el chollo de ser presidente con 85 diputados como si el oncólogo le hubiera dado dos años de vida. Recorriendo el mundo, pero a costa tuya.</t>
  </si>
  <si>
    <t>Gente, pueblo, arriba y abajo, casta, gobierno de progreso y cambio, Íbex35, oligarquía, patria, bloque monárquico, Trama. PortavozAs. ImbécilAs.</t>
  </si>
  <si>
    <t>Si el avión de Pedro Sánchez despega de esta Isla sin que el mandatario haya escuchado otra versión de la realidad que la del Palacio de la Revolución, este habrá sido un viaje inútil y parcial #SánchezCuba</t>
  </si>
  <si>
    <t>https://www.14ymedio.com/opinion/Cuba-viaje-arriesgado-Pedro-Sanchez_0_2550344946.html</t>
  </si>
  <si>
    <t>Una mala decisión que todavía puede rectificar: Pedro Sánchez no se reunirá con disidentes en su visita oficial de dos días a #Cuba #SánchezCuba</t>
  </si>
  <si>
    <t>https://pbs.twimg.com/media/DsnydfuVsAA8ez-.jpg</t>
  </si>
  <si>
    <t>DaniPintoB 🇪🇸</t>
  </si>
  <si>
    <t>Pedro Sánchez no verá a la oposición cubana para no desairar al castrismo en su viaje a la isla  vía @elmundoes Él sólo se atreve con los dictadores muertos.</t>
  </si>
  <si>
    <t>Barcelona-ESPAÑA 🇪🇸🇪🇺</t>
  </si>
  <si>
    <t>Vicepresidente @espanyacatalans-Secretario Gral.@ASAPRONA-Vocal Associació Comerciants ETN. #RealValladolid #RealMadrid #España #Historia #IIGM #Queen #NBA #F1</t>
  </si>
  <si>
    <t>http://danielpintobausela.wordpress.com</t>
  </si>
  <si>
    <t>Radioequinoccio.com</t>
  </si>
  <si>
    <t>PEDRO SANCHEZ EN CUBA ( AgenciAne) Presidente español Pedro Sánchez visita Cuba desde este jueves 22.Pone fin a 32 años en el que ese no recibió la visita oficial de un presidente del Gobierno de España.</t>
  </si>
  <si>
    <t>http://Radioequinoccio.com es una radio en línea que produce información y música de Ecuador para el Mundo</t>
  </si>
  <si>
    <t>http://www.radioequinoccio.com</t>
  </si>
  <si>
    <t>chicha77</t>
  </si>
  <si>
    <t>Duro varapalo de la juez al alcalde de Alcalá de Henares, que había pedido un «trato especial» MiraCorredor  PEDRO SÁNCHEZ DIJO QUE CUALQUIERA QUE ESTUVIESE IMPUTADO EN EL PSOE SERÍA EXPULSADO. UNA MENTIRA MÁS DE PINOCHO SÁNCHEZ.</t>
  </si>
  <si>
    <t>https://www.miracorredor.tv/duro-varapalo-de-la-juez-al-alcalde-de-alcala-de-henares-que-habia-pedido-un-trato-especial/</t>
  </si>
  <si>
    <t>el azote de ls corru</t>
  </si>
  <si>
    <t>pic.twitter.com/AEVJhvKhlV</t>
  </si>
  <si>
    <t>Política y Gobierno Nuevos talentos</t>
  </si>
  <si>
    <t>Alan Villarreal</t>
  </si>
  <si>
    <t>Soñé con Pedro Sánchez 😰🇪🇸</t>
  </si>
  <si>
    <t>Austin, TX</t>
  </si>
  <si>
    <t>Madridista, Apple Genius, Traveler and Global Citizen. Thinking different since 1990. One Nation Under God...</t>
  </si>
  <si>
    <t>Jac Romero</t>
  </si>
  <si>
    <t>Polítologo 🇪🇸 militante</t>
  </si>
  <si>
    <t>Jajajajajajajaja ¡ No e digas !😂😂😂😂😂😂😂 Pedro Sánchez confirma que él y el presidente del Gobierno son la misma persona  vía @ldtv</t>
  </si>
  <si>
    <t>https://tv.libertaddigital.com/videos/2018-11-19/pedro-sanchez-confirma-que-el-y-el-presidente-del-gobierno-son-la-misma-persona-6067116.html</t>
  </si>
  <si>
    <t>https://bit.ly/2qZGTde</t>
  </si>
  <si>
    <t>https://pbs.twimg.com/media/DsnyNq8WkAAlBmn.jpg</t>
  </si>
  <si>
    <t>Sadio Garavini di Turno</t>
  </si>
  <si>
    <t>Felipe González avisa sobre sus socios a Pedro Sánchez: “Llegan con votos y gobiernan con botas” | Reporte Católico Laico</t>
  </si>
  <si>
    <t>http://reportecatolicolaico.com/2018/11/felipe-gonzalez-avisa-sobre-sus-socios-a-pedro-sanchez-llegan-con-votos-y-gobiernan-con-botas/</t>
  </si>
  <si>
    <t>Embajador (r) de Venezuela,Ex Vice Ministro de Justicia,Doctor en Ciencias Políticas,Harvard WCFIA Fellow, Fulbright Scholar,Profesor universitario, Columnista</t>
  </si>
  <si>
    <t>Kleine Rüdiger</t>
  </si>
  <si>
    <t>Anda, Pedro Sánchez, propón un Mundial conjunto España - Reino Unido - Gibraltar. RT @elconfidencial: ÚLTIMA HORA: May advierte a España de que protegerá la "soberanía británica" de Gibraltar</t>
  </si>
  <si>
    <t>Triana / La Umbría</t>
  </si>
  <si>
    <t>Rancio. Nostálgico de los almacenes Gicos y de la pastelería Nova Roma. Menos gin-tonics y más carajillos de Soberano.</t>
  </si>
  <si>
    <t>Era cuestión de tiempo que el menos sanchista de los ministros, Josep Borrell, recuperara algo de su orgullo herido por la sumisión a un tipo como Pedro Sánchez. Por @JorgeBustos1</t>
  </si>
  <si>
    <t>https://amp.elmundo.es/espana/2018/11/21/5bf53f8b268e3e0a5a8b465c.html?__twitter_impression=true</t>
  </si>
  <si>
    <t>Biografía oficial del Excmo. Sr. Pedro Sánchez Pérez-Castejón, Presidente del Gobierno del Reino de #España. #Cuba</t>
  </si>
  <si>
    <t>http://www.minrex.gob.cu/es/biografia-oficial-del-excmo-sr-pedro-sanchez-perez-castejon-presidente-del-gobierno-del-reino-de</t>
  </si>
  <si>
    <t>Biografía oficial de Pedro Sánchez, presidente del Gobierno del Reino de España. #Cuba #SomosCuba</t>
  </si>
  <si>
    <t>https://bit.ly/2FAPBJ7</t>
  </si>
  <si>
    <t>https://pbs.twimg.com/media/DsnxJ-6XQAIvAiB.jpg</t>
  </si>
  <si>
    <t>Joel Martinez</t>
  </si>
  <si>
    <t>Matadero-Hnd</t>
  </si>
  <si>
    <t>Mi causa es la causa de mi pueblo,la causa de America,la causa de todos los pueblos oprimidos. Augusto C. Sandino</t>
  </si>
  <si>
    <t>https://okdiario-com.cdn.ampproject.org/v/s/okdiario.com/espana/2018/11/21/sanchez-mando-coche-oficial-vacio-valladolid-hacer-8-kms-del-aeropuerto-ciudad-3377374/amp?amp_js_v=a2&amp;amp_gsa=1#referrer=https%3A%2F%2Fwww.google.com&amp;amp_tf=De%20%251%24s&amp;ampshare=https%3A%2F%2Fokdiario.com%2Fespana%2F2018%2F11%2F21%2Fsanchez-mando-coche-oficial-vacio-valladolid-hacer-8-kms-del-aeropuerto-ciudad-3377374</t>
  </si>
  <si>
    <t>Bombones Ferreras Ferraz, rellenos de socialismo</t>
  </si>
  <si>
    <t>Hezmick</t>
  </si>
  <si>
    <t>Pedro Sánchez siempre ha sabido que estos presupuestos no salían por activa o por pasiva. Tonto ha sido no prometiendo un SMI de 2000 pavos, dos huevos duros y una longaniza para atar a todos los perros de España.</t>
  </si>
  <si>
    <t>A bordo de la Bounty</t>
  </si>
  <si>
    <t>Amotinado y proscrito. Navego sin bandera por aguas internacionales. Busco una isla donde nadie me pueda encontrar. Si amenazan mi buque me lío a cañonazos.</t>
  </si>
  <si>
    <t>http://es.favstar.fm/users/hezmick</t>
  </si>
  <si>
    <t>El periodista Reinaldo Escobar ha publicado este reportaje en el diario 14ymedio sobre la #Cuba donde aterrizará Pedro Sánchez #SánchezCuba</t>
  </si>
  <si>
    <t>https://www.14ymedio.com/reportajes/yumas-cosa-pepes-familia_0_2551544825.html</t>
  </si>
  <si>
    <t>https://pbs.twimg.com/media/DsnvTqxU4AID_3b.jpg</t>
  </si>
  <si>
    <t>Juan Infante</t>
  </si>
  <si>
    <t>Pedro Sánchez consigue la primera estrella @GuiaMichelin_ES "Una propuesta arraigada y actual basada en los productos autóctonos" ¡Enhorabuena! @sanchez_jaen @Baga_Jaen (Premio de @eldornillo 2013 al Mejor Chef"). ¡Qué orgullo para la cocina de la provincia de Jaén! #SentirJaén</t>
  </si>
  <si>
    <t>https://pbs.twimg.com/media/DsnvvTuXcAAlwBh.jpg</t>
  </si>
  <si>
    <t>Gacetín Madrid</t>
  </si>
  <si>
    <t>Ángel Garrido reclama a Pedro Sánchez eliminar el tope en el 'Fondo de Competitividad' #Madrid #FondoDeCompetitividad @angelgarridog @sanchezcastejon</t>
  </si>
  <si>
    <t>http://gacetinmadrid.com/2018/11/22/angel-garrido-reclama-a-pedro-sanchez-eliminar-el-tope-en-el-fondo-de-competitividad/</t>
  </si>
  <si>
    <t>Diario digital líder en la ciudad de Madrid y sus 21 distritos | Alertas WhatsApp: http://goo.gl/E8GUWG | contacto@gacetinmadrid.com</t>
  </si>
  <si>
    <t>Miembro de la Cofradía Gastronómica @eldornillo de FECOAN @andaluciafecoan y de la Academia del Gazpacho Andaluz @AGazpachoA</t>
  </si>
  <si>
    <t>http://gacetinmadrid.com/</t>
  </si>
  <si>
    <t>http://www.eldornillo.com</t>
  </si>
  <si>
    <t>Luis Rivero Rojas</t>
  </si>
  <si>
    <t>Pedro Sánchez @sanchezcastejon, Presidente de #España, inicia desde hoy primer viaje oficial de un mandatario español a #Cuba en 32 años. #SomosCuba @DiazCanelB #UnblockCuba</t>
  </si>
  <si>
    <t>https://pbs.twimg.com/media/DsncktMXoAAMXlg.jpg</t>
  </si>
  <si>
    <t>Abogado e informático cubano. Comunista que no renuncia a ese futuro de la humanidad.</t>
  </si>
  <si>
    <t>http://twiends.com/elerre2015</t>
  </si>
  <si>
    <t>Dani Baniela</t>
  </si>
  <si>
    <t>Madrid-Valladolid en el Falcon. Pedro Sánchez es un genio. 213 kilómetros por carretera y se pilla el avión.</t>
  </si>
  <si>
    <t>Lugo</t>
  </si>
  <si>
    <t>Mucho que decir y poco que contar. Escribo en el @diarioas y opino en @LGV11010 sobre el @CDeportivoLugo. Padre de Alicia.</t>
  </si>
  <si>
    <t>https://as.com/tag/cd_lugo/a/</t>
  </si>
  <si>
    <t>El periodista Reinaldo Escobar ha publicado este reportaje en el diario @14ymedio sobre la #Cuba donde aterrizará Pedro Sánchez #SánchezCuba</t>
  </si>
  <si>
    <t>PartidoPopularAvilés 🇪🇸</t>
  </si>
  <si>
    <t>📆 Mercedes Fernández, @cherimes se reúne en Avilés con el grupo municipal del PP, advierte de que el Gobierno de Pedro Sánchez : “ Va a vaciar la región, que quedará limpia, pero de gente, iniciativas y puestos de trabajo” #AsturiasAlDía ⬇️</t>
  </si>
  <si>
    <t>http://pp-asturias.com/Sala_de_Prensa/Noticias/La_politica_energetica_del_PSOE_cierra_Asturias_y_supondra_estancamiento_desolacion_y_paro</t>
  </si>
  <si>
    <t>https://pbs.twimg.com/media/DsnvY55X4AIXnDO.jpg</t>
  </si>
  <si>
    <t>Avilés, España</t>
  </si>
  <si>
    <t>Partido Popular Avilés-Asturias.Nuestras Ideas,Trabajo,Propuestas. Ayúdanos a construir una Cuidad,un País Mejor.🇪🇸 🅿️🅿️.MD Abierto.</t>
  </si>
  <si>
    <t>http://ppaviles.es</t>
  </si>
  <si>
    <t>Pues esas palabras tan claras que dijo Pedro Sánchez según Ignacion Escolar sobre el tema de Gibraltar, han hecho que May responda. Otra vez vamos a la guerra contra los ingleses. A ver si vencemos de una vez por todas.</t>
  </si>
  <si>
    <t>Adri</t>
  </si>
  <si>
    <t>La muletilla oral de Pedro Sánchez @sanchezcastejon: "Por tanto..."</t>
  </si>
  <si>
    <t>Siempre en busca de la verdad 🔍</t>
  </si>
  <si>
    <t>Pedro Sánchez expresa su "entusiasmo" por el Mundial 2030 y ....</t>
  </si>
  <si>
    <t>http://bit.ly/2AdPlK5</t>
  </si>
  <si>
    <t>rafa millan</t>
  </si>
  <si>
    <t>Alucinante!!! NO tiene vergüenza.... #PaisDePandereta #EleccionesYA #EleccionesGeneralesYa Pedro Sánchez mandó su coche oficial vacío a Valladolid para hacer los 8 kms del aeropuerto a la ciudad</t>
  </si>
  <si>
    <t>https://okdiario.com/espana/2018/11/21/sanchez-mando-coche-oficial-vacio-valladolid-hacer-8-kms-del-aeropuerto-ciudad-3377374#.W_ba7puB8NE.twitter</t>
  </si>
  <si>
    <t>Madrileño con sangre catalana,exiliado al sol...</t>
  </si>
  <si>
    <t>Theresa May y Pedro Sánchez discutieron por teléfono sobre el ....</t>
  </si>
  <si>
    <t>http://bit.ly/2AdPltz</t>
  </si>
  <si>
    <t>Manuel Posada</t>
  </si>
  <si>
    <t>Ponteceso - A Coruña</t>
  </si>
  <si>
    <t>Me dedico a la ingeniería industrial.</t>
  </si>
  <si>
    <t>Denis</t>
  </si>
  <si>
    <t>"Pedro Sánchez viaja a Marruecos y Mohamed Sidati (Frente Polisario) tiene un mensaje para él. #LaCafeteraFreeSahara" de @radiocable via #spreaker</t>
  </si>
  <si>
    <t>https://www.spreaker.com/user/radiocable/lacafeterafreesahara-un-pueblo-en-resist</t>
  </si>
  <si>
    <t>Biografía oficial de Pedro Sánchez, presidente del Gobierno del ....</t>
  </si>
  <si>
    <t>http://bit.ly/2AdPkWx</t>
  </si>
  <si>
    <t>Pedro Sánchez en Cuba: la política va junto a la realidad.</t>
  </si>
  <si>
    <t>http://bit.ly/2AdPk8Z</t>
  </si>
  <si>
    <t>Esta los tiene mas puestos que Sánchez Theresa May advierte a Pedro Sánchez de que protegerá la "soberanía británica" de Gibraltar  vía @elmundoes</t>
  </si>
  <si>
    <t>La tarde de Dieter</t>
  </si>
  <si>
    <t>.@manuel_llamas : "¿Quién es la izquierda, quién es el PSOE, para decirme a mí nada cuando Pedro Sánchez va a visitar la dictadura cubana y no va a ver a los presos políticos?"</t>
  </si>
  <si>
    <t>Programa de esRadio, de 16:00 a 19:00 de la tarde</t>
  </si>
  <si>
    <t>http://esradio.libertaddigital.com/es-la-tarde-de-dieter/</t>
  </si>
  <si>
    <t>Portal Cuba</t>
  </si>
  <si>
    <t>Llegará hoy a #Cuba Pedro Sánchez, presidente del Gobierno de #España. 🌐  @sanchezcastejon vía @ACN_Cuba</t>
  </si>
  <si>
    <t>http://bit.ly/2qYVGVx</t>
  </si>
  <si>
    <t>https://pbs.twimg.com/media/DsnWwQQUUAE6wxa.jpg</t>
  </si>
  <si>
    <t>Enrique Prieto</t>
  </si>
  <si>
    <t>Información variada y actual sobre #Cuba. Acceso a productos y servicios y a más de 1500 sitios web cubanos. Fundado en el año 2000.</t>
  </si>
  <si>
    <t>http://www.portal-cuba.com</t>
  </si>
  <si>
    <t>https://okdiario.com/espana/2018/11/21/ejercito-del-aire-tres-aviones-pedro-sanchez-3373984</t>
  </si>
  <si>
    <t>San Sebastián, España</t>
  </si>
  <si>
    <t>❝Martín, Jr.❞ 🇪🇸</t>
  </si>
  <si>
    <t>https://okdiario.com/espana/2018/11/21/sanchez-mando-coche-oficial-vacio-valladolid-hacer-8-kms-del-aeropuerto-ciudad-3377374#.W_baQjt3ckI.twitter</t>
  </si>
  <si>
    <t>(Una vida de filosofía) . ⛔ #NoMD ⚠</t>
  </si>
  <si>
    <t>Inmoavery.com</t>
  </si>
  <si>
    <t>En @ecinter: May advierte a España de que protegerá la "soberanía británica" de Gibraltar.-*Y D.Pedro Sánchez en Cuba, en vez de estar en Bruxelas defendiendo los intereses de España y los españoles.-</t>
  </si>
  <si>
    <t>https://www.elconfidencial.com/mundo/2018-11-22/gibraltar-may-espana-soberania-brexit_1663154/?utm_source=twitter&amp;utm_medium=social&amp;utm_campaign=BotoneraWeb</t>
  </si>
  <si>
    <t>Marbella . España .</t>
  </si>
  <si>
    <t>*Información especializada en general .ESPAÑA 1º.</t>
  </si>
  <si>
    <t>http://www.inmoavery.com</t>
  </si>
  <si>
    <t>.@isanseba : "Pedro Sánchez es un cobarde. No se atreve (a visitar a los presos políticos cubanos)".</t>
  </si>
  <si>
    <t>cerocuatro04</t>
  </si>
  <si>
    <t>La España cainita de Pedro Sánchez: esto empieza a parecerse a la II República via @web_hispanidad</t>
  </si>
  <si>
    <t>https://www.hispanidad.com/confidencial/la-espana-cainita-de-pedro-sanchez-esto-empieza-a-parecerse-a-la-ii-republica_12005657_102.html</t>
  </si>
  <si>
    <t>Cada cierto tiempo, las sociedades se autodestruyen aborregandose.</t>
  </si>
  <si>
    <t>https://youtu.be/-Du-CWASm20</t>
  </si>
  <si>
    <t>Miky</t>
  </si>
  <si>
    <t>https://www.elconfidencialdigital.com/articulo/politica/moncloa-filtro-candidatura-borrell-europeas-despues-pdecat-erc-pidieran-cabeza-contrapartida-seguir-apoyando-gobierno/20181121192512118406.html</t>
  </si>
  <si>
    <t>Andoain, España</t>
  </si>
  <si>
    <t>Miguel Pérez Pereira or Miguel de Jesús Pérez. Internet nick: Mikytoytoy. (Entrepreneur - Innovator - Gamer - Fighter - Global Observer) :D</t>
  </si>
  <si>
    <t>http://www.facebook.com/mikytoytoy</t>
  </si>
  <si>
    <t>La visita del presidente ibérico Pedro Sánchez representa el reconocimiento del fracaso, por parte de España, de su hostil política contra #Cuba, valora el secretario general del Partido Comunista de España, Enrique Santiago Romero</t>
  </si>
  <si>
    <t>https://pbs.twimg.com/media/Dsm303cVYAABctA.jpg</t>
  </si>
  <si>
    <t>Elizabeth Pérez</t>
  </si>
  <si>
    <t>Cuba, un viaje arriesgado para Pedro Sánchez | Opinión | EL PAÍS</t>
  </si>
  <si>
    <t>Periodista UCV. Productora Tv.Sin libertad y justicia no hay democracia. Alérgica al Socialismo del Siglo XXI. RCTVista y Caraquista. Caminar también es vivir</t>
  </si>
  <si>
    <t>DN Deportes</t>
  </si>
  <si>
    <t>#Osasuna | El Deportivo pierde a Pedro Sánchez para su partido ante Osasuna</t>
  </si>
  <si>
    <t>https://www.diariodenavarra.es/noticias/deportes/futbol/osasuna/2018/11/22/el-depor-pierde-pedro-sanchez-para-partido-ante-osasuna-622387-1027.html</t>
  </si>
  <si>
    <t>Twitter oficial de la sección de Deportes de Diario de Navarra: http://bit.ly/1S3iqdC En Facebook: http://facebook.com/DNDeportes/</t>
  </si>
  <si>
    <t>http://www.diariodenavarra.es/noticias/deportes/portada/</t>
  </si>
  <si>
    <t>Antonio gomez</t>
  </si>
  <si>
    <t>Almuñécar, Andalucía</t>
  </si>
  <si>
    <t>Y los Beatles...</t>
  </si>
  <si>
    <t>Seguro que Pedro Sánchez ha visitado Cuba para que le expliquen como aguantar en el gobierno sin convocar elecciones.</t>
  </si>
  <si>
    <t>A la ribereña del Mediterráneo</t>
  </si>
  <si>
    <t>He vist l'opressió del meu poble assegut a la barra d'un bar.</t>
  </si>
  <si>
    <t>H Condestable Iranzo</t>
  </si>
  <si>
    <t>Nuestra enhorabuena al restaurante Bagá de Pedro Sánchez por el gran triunfo gastronómico al ganar su primera estrella Michelín.</t>
  </si>
  <si>
    <t>http://www.diariojaen.es/cultura/baga-gana-una-estrella-michelin-GH4867998?fbclid=IwAR2ALSQ3SndNgFWxh46fLMHa-rjK7Vf0to4S_AMMRiv_zjh9d3uSLyqDZyk</t>
  </si>
  <si>
    <t>Su hotel de referencia en Jaén. Restaurante, Cafetería, Discoteca, Salones, Terraza. Paseo de la Estación, nº 32</t>
  </si>
  <si>
    <t>http://www.hotelcondestableiranzo.es</t>
  </si>
  <si>
    <t>#SabiasQue En el año 2017, #España ocupó el tercer lugar en el intercambio comercial de #Cuba con el mundo y es el principal socio comercial en #Europa.  #CubaEspaña #PedroSanchezEnCuba</t>
  </si>
  <si>
    <t>https://pbs.twimg.com/media/DsnsLqrU4AATpbo.jpg</t>
  </si>
  <si>
    <t>GetafeDiario</t>
  </si>
  <si>
    <t>Ángel Garrido se reúne con Pedro Sánchez y le reclama eliminar el tope en el “Fondo de Competitividad” | EL GOBIERNO APUESTA POR MODERNIZAR LA RED DE CERCANÍAS |</t>
  </si>
  <si>
    <t>http://getafediario.es/noticias-madrid/garrido-se-reune-con-sanchez-y-le-reclama-eliminar-el-tope-en-el-fondo-de-competitividad-20181122.html</t>
  </si>
  <si>
    <t>https://pbs.twimg.com/media/DsnsPzvXoAAM7sI.jpg</t>
  </si>
  <si>
    <t>Getafe (Madrid)</t>
  </si>
  <si>
    <t>Diario Digital sobre Getafe - Noticias e información de Getafe - Madrid en getafediario.es, periódico local de información en internet</t>
  </si>
  <si>
    <t>http://www.getafediario.es</t>
  </si>
  <si>
    <t>https://pbs.twimg.com/media/DsnrjJOVsAEOZyN.jpg</t>
  </si>
  <si>
    <t>🏄‍♀️ Surfistes 🏄‍♂️ Indepes🎗</t>
  </si>
  <si>
    <t>¿Esto es verdad o son fake news? Uno ya no sabe........</t>
  </si>
  <si>
    <t>Sempre ens trobareu a les platges de Sant Esteve dels Roures #independencia #nosurrender #freetothom #nowavesnoparty🤙Catalonia is not Spain ¡¡*¡¡</t>
  </si>
  <si>
    <t>Inteligencia Estratégica</t>
  </si>
  <si>
    <t>#Agenda #Internacional El presidente del Gobierno de España, Pedro Sánchez, inicia hoy una visita oficial a Cuba, donde se entrevistará con las principales autoridades de la isla y se reunirá con la colonia española.</t>
  </si>
  <si>
    <t>Las Rozas de Madrid, España</t>
  </si>
  <si>
    <t>contacto@inteligenciaestrategica.com.mx</t>
  </si>
  <si>
    <t>Somos una empresa consultora. Desarrollamos estrategias que permiten una mejor toma de decisiones. Creamos sinergias productivas.</t>
  </si>
  <si>
    <t>http://inteligenciaestrategica.com.mx</t>
  </si>
  <si>
    <t>#Sánchez exige disculpas a #Casado por el escupitajo de ERC a #Borrell, por @KettyGarat  vía @libertaddigital #SánchezestáLoco #SanchezDimision! LLAMEN A SUS MÉDICOS, QUE LO INGRESEN!</t>
  </si>
  <si>
    <t>Ana Rosa</t>
  </si>
  <si>
    <t>El Presidente español Pedro Sánchez visitará #LaHabana invitado por su homólogo cubano, Sánchez viajará acompañado por una amplia delegación de empresarios que buscan expandir la presencia de sus negocios. #Cuba #España @CUBAH0RA</t>
  </si>
  <si>
    <t>https://bit.ly/2DQT58N</t>
  </si>
  <si>
    <t>https://pbs.twimg.com/media/DsnrnEmU4AAkMHN.jpg</t>
  </si>
  <si>
    <t>Napoleon Campos</t>
  </si>
  <si>
    <t>Ciudad de Guatemala, Guatemala</t>
  </si>
  <si>
    <t>Especialista salvadoreño/centroamericano en Temas Internacionales. Docente, investigador y consultor.</t>
  </si>
  <si>
    <t>http://www.napoleoncampos.org</t>
  </si>
  <si>
    <t>Yeniel</t>
  </si>
  <si>
    <t>Theresa May se pone chula con Gibraltar. Como Pedro Sánchez se descuide, y visto cómo funciona, le escupe</t>
  </si>
  <si>
    <t>https://www.libertaddigital.com/espana/2018-11-22/theresa-may-advierte-a-sanchez-al-asegurar-que-protegera-la-soberania-britanica-de-gibraltar-1276628691/</t>
  </si>
  <si>
    <t>Hijo, esposo, padre y revolucionario cubano. Mr.C. en Relaciones Internacionales y especialista en Comunicación política.</t>
  </si>
  <si>
    <t>ElhuffPostPolitica</t>
  </si>
  <si>
    <t>🔴 ÚLTIMA HORA- Theresa May asegura que defenderá "la soberanía de Gibraltar" y que se lo dijo ayer "claramente" a Pedro Sánchez</t>
  </si>
  <si>
    <t>https://www.huffingtonpost.es/2018/11/22/may-defendere-la-soberania-de-gibraltar_a_23597118/?utm_hp_ref=es-homepage</t>
  </si>
  <si>
    <t>La política ha cambiado. La manera de informar sobre política también.</t>
  </si>
  <si>
    <t>http://www.huffingtonpost.es/news/politica/</t>
  </si>
  <si>
    <t>Radio CMHW</t>
  </si>
  <si>
    <t>#Cuba Biografía oficial del Excmo. Sr. Pedro Sánchez Pérez-Castejón, presidente del Gobierno del Reino de España.</t>
  </si>
  <si>
    <t>https://goo.gl/u5117j</t>
  </si>
  <si>
    <t>Santa Clara, Villa Clara, Cuba</t>
  </si>
  <si>
    <t>CMHW La Reina Radial del Centro</t>
  </si>
  <si>
    <t>http://www.cmhw.cu</t>
  </si>
  <si>
    <t>Biografía oficial del Excmo. Sr. Pedro Sánchez Pérez-Castejón, presidente del Gobierno del Reino de España.</t>
  </si>
  <si>
    <t>Rafa López</t>
  </si>
  <si>
    <t>https://twitter.com/5observador90/status/1065317616796008449</t>
  </si>
  <si>
    <t>pic.twitter.com/JoPse863QZ</t>
  </si>
  <si>
    <t>La naranja sudafricana de Joan Baldoví esconde un mensaje para Pedro Sánchez</t>
  </si>
  <si>
    <t>http://dlvr.it/QrsW6V</t>
  </si>
  <si>
    <t>https://pbs.twimg.com/media/Dsnp9VoUwAAaPM0.jpg</t>
  </si>
  <si>
    <t>Pedro Sánchez y Theresa May (AP) La primera ministra británica, la conservadora Theresa May, advirtió este jueves que protegerá la...</t>
  </si>
  <si>
    <t>https://www.infobae.com/america/mundo/2018/11/22/theresa-may-advirtio-a-espana-que-protegera-la-soberania-britanica-de-gibraltar-ante-el-brexit/</t>
  </si>
  <si>
    <t>Radio Vertientes 🇨🇺</t>
  </si>
  <si>
    <t>🎙Emisora de radio; #Camagüey, #Cuba. Transmitiendo por los 104.1 FM desde #Vertientes, tierra de azucareros, sitio de la inmortalidad de Ignacio Agramonte 📻</t>
  </si>
  <si>
    <t>https://radiovertientes.wordpress.com/</t>
  </si>
  <si>
    <t>Beatriz Juez</t>
  </si>
  <si>
    <t>periodista-journaliste-reporter Colaboradora de El Mundo en París</t>
  </si>
  <si>
    <t>Cornelia Cinna Minor</t>
  </si>
  <si>
    <t>Entienden ahora por qué llevó Pedro Sánchez a su médico al mitin de Chiclana, Cádiz, con Susánida???</t>
  </si>
  <si>
    <t>https://sevilla.abc.es/andalucia/huelva/sevi-condenan-pagar-mas-195600-mastectomia-tras-falso-positivo-cancer-201811191522_noticia.html</t>
  </si>
  <si>
    <t>Roma</t>
  </si>
  <si>
    <t>Editora de Letra Cursiva. Mi lema es «Obra de tal modo q la máxima de tu voluntad siempre pueda valer al mismo tiempo como principio de legislación universal»</t>
  </si>
  <si>
    <t>http://letracursivacornelia.blogspot.com.es/</t>
  </si>
  <si>
    <t>Don Fernando</t>
  </si>
  <si>
    <t>Pedro Sánchez se auto destruirá en 3,2,1...</t>
  </si>
  <si>
    <t>pic.twitter.com/iG7XDE8Pl6</t>
  </si>
  <si>
    <t>Política, literatura, arte.</t>
  </si>
  <si>
    <t>Ya eres mayor para ser comunista. Hay remedio. Lee sobre ello y compadécete... 1 vasco + 1 catalán = 2 españoles. 🇪🇸</t>
  </si>
  <si>
    <t>.@isanseba : "Quiero expresar mi indignación ante la indignidad del presidente del Gobierno. No nos merecemos un presidente como Pedro Sánchez".</t>
  </si>
  <si>
    <t>REMATEMOMENTO</t>
  </si>
  <si>
    <t>Humanistas</t>
  </si>
  <si>
    <t>El presidente del gobierno del Reino de España, Pedro Sánchez Pérez Castejón, realiza una visita oficial a Cuba a partir de este jueves 22 de noviembre, durante la cual sostiene conversaciones oficiales con...</t>
  </si>
  <si>
    <t>https://prensaldia.com/presidente-del-gobierno-espanol-visita-cuba/</t>
  </si>
  <si>
    <t>Mundo sin Guerras y sin Violencia - Equipo Base Mediterráneo - Málaga</t>
  </si>
  <si>
    <t>http://humanistas.net</t>
  </si>
  <si>
    <t>https://www.abc.es/historia/abci-pedro-sanchez-y-silla-maceo-heroe-cubano-cuyo-asesinato-puso-mundo-contra-espana-201811210237_noticia.html#ns_campaign=rrss-inducido&amp;ns_mchannel=abc-es&amp;ns_source=tw&amp;ns_linkname=noticia-foto&amp;ns_fee=0</t>
  </si>
  <si>
    <t>LAS MAFIAS de @OCDE_fr y @FMInoticias dicen a Pedro Sanchez ¡¡ Oye tu gilipollas ,pero quien te crees que eres ? que es eso de intentar ayudar a familias pobres de España ,,aquí el Dinero es para nosotros ,,@EU_Commission @CiudadanosCs @PSOE @PPopular</t>
  </si>
  <si>
    <t>Noticias Majadahonda</t>
  </si>
  <si>
    <t>► Garrido pide a Pedro Sánchez eliminar el límite del fondo de competitividad #ComunidadDeMadrid</t>
  </si>
  <si>
    <t>http://tinyurl.com/y9gjrqk6</t>
  </si>
  <si>
    <t>https://pbs.twimg.com/media/DsnpEYqX4AUW7R2.jpg</t>
  </si>
  <si>
    <t>Majadahonda, Madrid</t>
  </si>
  <si>
    <t>Última hora de la actualidad, política, opinión, sociedad, cultura, deportes, gente y ocio de Majadahonda y la Comunidad de Madrid. También en @muni_MAD</t>
  </si>
  <si>
    <t>http://www.noticiasdemajadahonda.es</t>
  </si>
  <si>
    <t>jordi català</t>
  </si>
  <si>
    <t>Muere un joven por la nula inversión del Estado español en Rodalies, y el gobierno de Pedro Sánchez decide:</t>
  </si>
  <si>
    <t>https://cincodias.elpais.com/breves/ibex-35-y-mercados-en-directo/1542901346-4786ed8483b0e967543e223963e6a3b6</t>
  </si>
  <si>
    <t>Daniel Stauffer</t>
  </si>
  <si>
    <t>Pedro Sánchez al sector del automóvil: 20 años bastan para hacer la transición al coche eléctrico</t>
  </si>
  <si>
    <t>https://lnkd.in/ghN2T_D
https://lnkd.in/gtzKQyx</t>
  </si>
  <si>
    <t>Winterthur, Switzerland</t>
  </si>
  <si>
    <t>Managing Owner http://iclaims.ch and Responsible Social Media of the Institute for European Traffic Law</t>
  </si>
  <si>
    <t>http://www.iclaims.ch</t>
  </si>
  <si>
    <t>かみました</t>
  </si>
  <si>
    <t>¿Alguna vez conociste a una celebridad? — Pedro Sanchez literalmente me ha mirado a los ojos y me ha sonreido le quiero</t>
  </si>
  <si>
    <t>https://curiouscat.me/Nindle/post/713904380?t=1542903064</t>
  </si>
  <si>
    <t>zonaDepor.net</t>
  </si>
  <si>
    <t>Pedro Sánchez se resiente de su lesión en el bíceps</t>
  </si>
  <si>
    <t>https://ift.tt/2QedNoO</t>
  </si>
  <si>
    <t>Web creada por un aficionado del @RCDeportivo con noticias, resultados, encuestas y mucho más. http://facebook.com/zonadepor http://telegram.me/zonadepor #DÉPOR</t>
  </si>
  <si>
    <t>http://www.zonaDepor.net</t>
  </si>
  <si>
    <t>M. Carmen Romero</t>
  </si>
  <si>
    <t>Pedro Sánchez evita condenar la actitud de Gabriel Rufián en el Congreso: "Todos tenemos la culpa"  via @elmundoes</t>
  </si>
  <si>
    <t>Ni a golpistas independentistas ni a Unidos Podemos ni a este partido del PSOE de Pedro Sánchez cuando haya elecciones no se les debe de votar</t>
  </si>
  <si>
    <t>https://pbs.twimg.com/media/Dsnnt6BXoAEMHim.jpg</t>
  </si>
  <si>
    <t>🔴 #ÚLTIMAHORA Theresa May: “Defenderé la soberanía británica de Gibraltar. Fui absolutamente clara con Pedro Sánchez”</t>
  </si>
  <si>
    <t>https://www.elindependiente.com/politica/2018/11/22/may-defendere-la-soberania-britanica-gibraltar-fui-absolutamente-clara-pedro-sanchez/?utm_source=share_buttons&amp;utm_medium=twitter&amp;utm_campaign=social_share2</t>
  </si>
  <si>
    <t>El HuffPost</t>
  </si>
  <si>
    <t>▶Facebook http://bit.ly/1sDqXwu ▶Telegram http://bit.ly/1sDriPC ▶Android http://bit.ly/1NcE6TE ▶iOS http://bit.ly/1AokTa1</t>
  </si>
  <si>
    <t>http://www.huffingtonpost.es</t>
  </si>
  <si>
    <t>ElPeriodico.digital</t>
  </si>
  <si>
    <t>Pedro Sánchez viaja a Cuba para erigirse en interlocutor europeo  noticia periodico</t>
  </si>
  <si>
    <t>http://dlvr.it/QrsSN2</t>
  </si>
  <si>
    <t>https://pbs.twimg.com/media/DsnnedzVYAAGljo.jpg</t>
  </si>
  <si>
    <t>http://ElPeriodico.digital Periodico libre y sin censura</t>
  </si>
  <si>
    <t>The Catalan Analyst</t>
  </si>
  <si>
    <t>Nodal</t>
  </si>
  <si>
    <t>#Cuba: llega el presidente español Pedro Sánchez para fortalecer la cooperación bilateral @sanchezcastejon @DiazCanelB 👇</t>
  </si>
  <si>
    <t>https://goo.gl/1vS7oy</t>
  </si>
  <si>
    <t>Barcelona, Cataluña, España, U</t>
  </si>
  <si>
    <t>Donde es posible decir lo que se quiere, nadie hace el esfuerzo de decir solo lo que importa' | N.G. Dávila</t>
  </si>
  <si>
    <t>http://catalananalyst.blogspot.com.es</t>
  </si>
  <si>
    <t>Noticias de América Latina y el Caribe. Director @PedroBriegerOK</t>
  </si>
  <si>
    <t>https://www.nodal.am</t>
  </si>
  <si>
    <t>Christophe Caro</t>
  </si>
  <si>
    <t>Pintor, escritor, poeta, escultor, constructor. Autodidacta. 90 expos. nacionales e internacionales. 36 libros publicados en Amaz. http://www.christophecaro.com</t>
  </si>
  <si>
    <t>http://www.christcarbe.com</t>
  </si>
  <si>
    <t>Toni Cut</t>
  </si>
  <si>
    <t>Londres Noticias</t>
  </si>
  <si>
    <t>http://zpr.io/6d8ZB</t>
  </si>
  <si>
    <t>Noticias tendencias de la capital británica📍Envíanos tus noticias de la comunidad. ⚠️Some tweets are autoposted from reddit trending</t>
  </si>
  <si>
    <t>Isabel Rodríguez</t>
  </si>
  <si>
    <t>La RFEF desautoriza a Pedro Sánchez para organizar el Mundial con Marruecos en 2030</t>
  </si>
  <si>
    <t>Asesora Inmobiliaria España</t>
  </si>
  <si>
    <t>https://www.facebook.com/isabelrodriguez.realestate</t>
  </si>
  <si>
    <t>News Paper On</t>
  </si>
  <si>
    <t>Es la primera vez desde 1986: el jefe del gobierno español Pedro Sánchez llega este jueves a Cuba para una visita oficial.</t>
  </si>
  <si>
    <t>http://ow.ly/P1Km30mIo9G</t>
  </si>
  <si>
    <t>https://pbs.twimg.com/media/Dsnmbw-WsAMdvJ4.jpg</t>
  </si>
  <si>
    <t>La revolución de las noticias 🌎🗞💻📲 ¡Enterate de lo que querés saber!</t>
  </si>
  <si>
    <t>http://newspaperon.com/</t>
  </si>
  <si>
    <t>Paloma Martinez</t>
  </si>
  <si>
    <t>Gibraltar es España y vosotros unos usurpadores May: "Defenderé la soberanía británica de Gibraltar. Fui absolutamente clara con Pedro Sánchez" - El Independiente #LaSilenciosaCat  vía @indpcom</t>
  </si>
  <si>
    <t>https://www.elindependiente.com/politica/2018/11/22/may-defendere-la-soberania-britanica-gibraltar-fui-absolutamente-clara-pedro-sanchez/?utm_source=share_buttons&amp;utm_medium=twitter&amp;utm_campaign=social_share</t>
  </si>
  <si>
    <t>nací en Madrid. soñadora, inconformista</t>
  </si>
  <si>
    <t>La primera ministra británica explica a su Parlamento los detalles de la conversación que mantuvo el miércoles por la noche con el presidente del Gobierno español, Pedro Sánchez</t>
  </si>
  <si>
    <t>https://www.lavanguardia.com/internacional/20181122/453095361973/may-espana-soberania-britanica-gibraltar-acuerdo-brexit.html?utm_source=twitter_lv&amp;utm_medium=social</t>
  </si>
  <si>
    <t>Enrique Suárez Alonso</t>
  </si>
  <si>
    <t>May: "Defenderé la soberanía británica de Gibraltar. Fui absolutamente clara con Pedro Sánchez" - El Independiente  vía @indpcom</t>
  </si>
  <si>
    <t>Soy uno más, pero no menos</t>
  </si>
  <si>
    <t>María Elena Bayón</t>
  </si>
  <si>
    <t>Es muy grata la visita del Presidente de #España Pedro Sánchez a #Cuba, al responder a la invitación de nuestro Presidente @DiazCanelB . Los nexos son más fuertes cada día y los genes se mantienen en la sangre, por eso es la amistad de ambas naciones indestructible</t>
  </si>
  <si>
    <t>https://pbs.twimg.com/media/DsnmEDoU0AERt8C.jpg</t>
  </si>
  <si>
    <t>Matanzas. Cuba</t>
  </si>
  <si>
    <t>Periodista, escritora y madre de tres hijos: Ysmarys, Mirelis y Fernando y dos nietos: Flavia y Damián. Cuba es mi pasión. Matanzas mi hogar. Quiero paz. .</t>
  </si>
  <si>
    <t>Lorenzo Solis Morale</t>
  </si>
  <si>
    <t>Vejer de la Frontera</t>
  </si>
  <si>
    <t>Soy el que soy....Y vengo de donde vengo...."Coño que bien habla este tio.</t>
  </si>
  <si>
    <t>América Hoy</t>
  </si>
  <si>
    <t>http://dlvr.it/QrsR5X</t>
  </si>
  <si>
    <t>https://pbs.twimg.com/media/DsnmF8xVsAA_3Uf.jpg</t>
  </si>
  <si>
    <t>Sur de la Florida</t>
  </si>
  <si>
    <t>Aca y ahora, ultimas noticias. Cuando ya conoces las noticias, nosotros te contamos la verdad. Periodico Hispano Lider en el S de la Florida.</t>
  </si>
  <si>
    <t>http://www.americahoy.net</t>
  </si>
  <si>
    <t>Julio Vidorreta</t>
  </si>
  <si>
    <t>Periodista. Comunicación y Política. RRII. Views on my own. RT not endorsement. De Logroño. Leal con los leales y respetuoso con los que te respetan</t>
  </si>
  <si>
    <t>Carmen De Carlos</t>
  </si>
  <si>
    <t>España. Mientras resucita la momia de Franco y se ve con el dictador cubano...La comisión del Senado que investiga el caso tesis pedirá la comparecencia de Pedro Sánchez y sus profesores  vía @ABCespana</t>
  </si>
  <si>
    <t>https://www.abc.es/espana/abci-comision-senado-investiga-caso-tesis-pedira-comparecencia-sanchez-y-profesores-201811221125_noticia.html#ns_campaign=rrss-inducido&amp;ns_mchannel=abc-es&amp;ns_source=tw&amp;ns_linkname=noticia-foto&amp;ns_fee=0</t>
  </si>
  <si>
    <t>Periodista. Corresponsal de ABC. Directora de @SudAmericaHoy http://www.sudamericahoy.com Hago lo que puedo y como puedo.😊</t>
  </si>
  <si>
    <t>http://www.sudamericahoy.com</t>
  </si>
  <si>
    <t>Viaje a Cuba: Pedro Sánchez no se reunirá con la oposición</t>
  </si>
  <si>
    <t>https://www.larazon.es/espana/pedro-sanchez-no-se-reunira-en-su-viaje-a-cuba-con-los-grupos-opositores-IH20630495</t>
  </si>
  <si>
    <t>Javier Guevara</t>
  </si>
  <si>
    <t>http://dlvr.it/QrsQg2</t>
  </si>
  <si>
    <t>Jóven Revolucionario. De pensamiento martianos y fidelista. Por la Unidad Latinoamericana</t>
  </si>
  <si>
    <t>http://www.expansion.com/economia/2018/11/22/5bf6a7d8468aebd6448b4580.html</t>
  </si>
  <si>
    <t>Roberto Casado</t>
  </si>
  <si>
    <t>Theresa May: He dicho a Pedro Sánchez que la soberanía británica de Gibraltar será protegida tras el Brexit  vía @expansioncom</t>
  </si>
  <si>
    <t>Corresponsal de Expansion en Londres.</t>
  </si>
  <si>
    <t>Información Actual</t>
  </si>
  <si>
    <t>España buscar estrechar lazos con Cuba, tras 32 años de separación  Vía #ELTIEMPO</t>
  </si>
  <si>
    <t>https://ift.tt/2DP9WIY</t>
  </si>
  <si>
    <t>Recopilación de información de las mejores fuentes de noticia. Respetando la autoría de las mismas y brindando el crédito correspondiente al emisor original.</t>
  </si>
  <si>
    <t>Theresa May advierte a Pedro Sánchez de que protegerá la "soberanía británica" de Gibraltar @elmundoes  SIEMPRE SE ASUSTARÁ EL DOCTOR...</t>
  </si>
  <si>
    <t>http://www.elmundo.es/internacional/2018/11/22/5bf6b01b468aeb352a8b463a.html.COMO</t>
  </si>
  <si>
    <t>Raquel Morales</t>
  </si>
  <si>
    <t>Muchas felicidades a @Baga_Jaen, a Pedro Sánchez y a todo su equipo por esa primera Estrella Michelin. Nos habéis dado la primera de #Jaén. ¡Esperamos que lleguen muchas más! El esfuerzo, talento y constancia de los jienneses traen recompensas como esta</t>
  </si>
  <si>
    <t>https://www.horajaen.com/2018/11/21/baga-el-primer-restaurante-en-jaen-con-una-estrella-michelin/</t>
  </si>
  <si>
    <t>Marmolejo, Jaén, Andalucía</t>
  </si>
  <si>
    <t>Filóloga y profesora de inglés por vocación. Responsable de Infancia en el Comité Ejecutivo de Ciudadanos. Portavoz de Cs Jaén. Apasionada de lo que hago.</t>
  </si>
  <si>
    <t>Noticieros Hoy Mismo</t>
  </si>
  <si>
    <t>#HoyMismo #Internacionales Tras 32 años sin viajes oficiales a Cuba, presidente de Gobierno de España, Pedro Sánchez, visita la isla con la intención de normalizar las relaciones entre ambos países.</t>
  </si>
  <si>
    <t>https://pbs.twimg.com/media/DsnlNI0XgAAOgxo.jpg</t>
  </si>
  <si>
    <t>Un noticiero con más de 30 años de trayectoria, con la dirección de @melgar3030. Contenido profesional, veraz y responsable.</t>
  </si>
  <si>
    <t>https://goo.gl/npRaFd</t>
  </si>
  <si>
    <t>Pedro Sánchez vuela hoy a reunirse con los dictadores de Cuba (con los opositores no; se ha negado). El que quiere sacar los restos de un dictador muerto hace 43 años se reúne con uno bien vivito, despreciando de paso a los opositores demócratas.</t>
  </si>
  <si>
    <t>Clara</t>
  </si>
  <si>
    <t>🍿🍿 Theresa May advierte a Pedro Sánchez de que protegerá la "soberanía británica" de Gibraltar @elmundoes</t>
  </si>
  <si>
    <t>Ísland - Barcelona</t>
  </si>
  <si>
    <t>Graduada en Polítiques i Màster en Màrqueting Polític. @InstitutICPS @uabmmp Estratègia electoral | Comunicació política.</t>
  </si>
  <si>
    <t>Just watch me - Vive la Tabarnie Libre</t>
  </si>
  <si>
    <t>Insert bio here</t>
  </si>
  <si>
    <t>Pedro Sánchez viaja a Cuba donde ignorará a los opositores al régimen  vía @actuallcom</t>
  </si>
  <si>
    <t>Miguel Angel Yáñez</t>
  </si>
  <si>
    <t>Periodista de radio y televisión en España. Rtve. Vicepresidente @prensadeportMad Tesorero @PeriodistasAEPD Figure Skating comentator @Eurosport_ES</t>
  </si>
  <si>
    <t>Entrevista concedida al diario El País por el Historiador de la Ciudad de La Habana, Doctor Eusebio Leal Spengler, quien califica la próxima visita oficial del presidente español Pedro Sánchez a la Isla como un “gesto de amistad”.</t>
  </si>
  <si>
    <t>https://elpais.com/politica/2018/11/21/actualidad/1542803798_093416.html</t>
  </si>
  <si>
    <t>Antonio Sebastián</t>
  </si>
  <si>
    <t>Católico apostólico y romano, en proceso de conversión renqueante y zigzagueante. Se admite guía espiritual.</t>
  </si>
  <si>
    <t>http://soyefimero.blogspot.com.es/</t>
  </si>
  <si>
    <t>#ÚLTIMAHORA | Theresa May lanza una advertencia a España por la amenaza de Pedro Sánchez al Brexit por Gibraltar</t>
  </si>
  <si>
    <t>https://www.eleconomista.es/economia/noticias/9537195/11/18/Theresa-May-Confio-en-alcanzar-un-acuerdo-sobre-Gibraltar-de-aqui-al-domingo-.html</t>
  </si>
  <si>
    <t>#ÚLTIMAHORA El anterior Pedro Sánchez pide la dimisión de la ministra de Justicia, Dolores Delgado @LolaDelgadoG RT @sanchezcastejon: Al PP hay que exigirle la dimisión de Fernández Díaz. Ni puede ni debe presidir la Comisión de Exteriores quien ha sido reprobado</t>
  </si>
  <si>
    <t>https://twitter.com/sanchezcastejon/status/798790920728494080</t>
  </si>
  <si>
    <t>Víctor Chacón</t>
  </si>
  <si>
    <t>Hay que agradecer al presidente @angelgarridog que defienda los proyectos que benefician a los alcalaínos. Entre la parálisis del bus-vao en la A-2 de Pedro Sánchez y el Madrid Central de Carmena parece que nos quieren viviendo en un atasco contínuo.</t>
  </si>
  <si>
    <t>https://lalunadealcala.com/bus-vao-la-2-alcala-henares-madrid-se-cuela-la-reunion-pedro-sanchez-angel-garrido/</t>
  </si>
  <si>
    <t>Licenciado en CC Políticas. Portavoz del PP en Alcalá de Henares. ¡Orgullo de ciudad! Recorremos #AlcaláCalleaCalle para solucionar los problemas de los vecinos</t>
  </si>
  <si>
    <t>Malestar en parte del Gobierno de Pedro Sánchez por querer gobernar vía decreto  vía @elmundoes</t>
  </si>
  <si>
    <t>Pablo A. Bugallo</t>
  </si>
  <si>
    <t>¿Visitará PEDRO SÁNCHEZ la tumba del DICTADOR socialista-marxista de CUBA en su visita a la isla sometida al FASCISMO MARXISTA? ¿Por qué un adalid de la democracia como él parece sentirse en Cuba mejor que en casa?</t>
  </si>
  <si>
    <t>pic.twitter.com/XDBuiJ4eCp</t>
  </si>
  <si>
    <t>Mientras pienso qué poner: lo que veas de bueno en mí —bueno de verdad— a Dios pertenece; lo otro es cosa mía. “Ninguno es bueno sino uno: Dios”.</t>
  </si>
  <si>
    <t>http://chn.ge/2IkP4Je</t>
  </si>
  <si>
    <t>vicente gonzalez</t>
  </si>
  <si>
    <t>valladolid</t>
  </si>
  <si>
    <t>Fósil descatalogado. Sigo rostros humanos, no mascaras ni disfraces. Manía por lo autentico http://herrerillo.tumblr.com/</t>
  </si>
  <si>
    <t>¿Les dirá Pedro Sánchez a las autoridades cubanas que no está bien eso de tener mausoleos para dictadores?</t>
  </si>
  <si>
    <t>https://www.infobae.com/america/fotos/2016/12/04/asi-es-el-mausoleo-donde-descansaran-los-restos-del-dictador-fidel-castro/</t>
  </si>
  <si>
    <t>EL MUNDO</t>
  </si>
  <si>
    <t>Theresa May lanza una advertencia a Pedro Sánchez sobre Gibraltar</t>
  </si>
  <si>
    <t>https://trib.al/qqatm5G</t>
  </si>
  <si>
    <t>Cuenta oficial de EL MUNDO -YouTube http://bit.ly/2hBbolJ Bruselas se prepara para certificar el divorcio con el Reino Unido. (📷John Thys)</t>
  </si>
  <si>
    <t>http://www.elmundo.es/</t>
  </si>
  <si>
    <t>La Opinión de Murcia</t>
  </si>
  <si>
    <t>Dice que fue muy clara con Pedro Sánchez</t>
  </si>
  <si>
    <t>https://www.laopiniondemurcia.es/nacional/2018/11/22/may-advierte-protegera-soberania-britanica/974539.html</t>
  </si>
  <si>
    <t>El periódico de actualidad y opinión de la Región de Murcia, con el que estarás informado de todo al instante.</t>
  </si>
  <si>
    <t>https://www.laopiniondemurcia.es</t>
  </si>
  <si>
    <t>David Ortiz</t>
  </si>
  <si>
    <t>El señor @pablocasado_ critica que Pedro Sánchez visite Cuba. El bufón no se pone tan chulito con su rey.</t>
  </si>
  <si>
    <t>https://pbs.twimg.com/media/DsniWnMXgAA4LyM.jpg</t>
  </si>
  <si>
    <t>aquí y allá</t>
  </si>
  <si>
    <t>Librepensador. Alguna vez escribo en Infolibre. El humor ha de ser como un látigo con cascabeles en la punta. José Martí</t>
  </si>
  <si>
    <t>Rafa Morata</t>
  </si>
  <si>
    <t>Esto es un cachondeo intolerable: juegan no entre ellos, sino con todos nosotros. Demencial. En @elconfidencial, ERC pide a Pedro Sánchez que aguante, evite elecciones y espere su apoyo no ahora sino en otoño</t>
  </si>
  <si>
    <t>Maestro de Primaria en la pública (la mejor, la de todos). Ugetista. Socialista. Cinefilia, viñetas y vida. Web personal consagrada a Rainer Werner Fassbinder</t>
  </si>
  <si>
    <t>https://www.rafamorata.es</t>
  </si>
  <si>
    <t>Puigdemonty</t>
  </si>
  <si>
    <t>Rufián insulta a Borrell. Borrell se lo explica. Otro diputado de ERC escupe a Borrell. Pedro Sánchez dice que la culpa es de Casado. Pedro Sánchez se va a Cuba a visitar a un dictador comunista. Continuará... RT @europapress: La dirección del PSOE no vio el escupitajo de ERC a Borrell y achaca al PP la crispación</t>
  </si>
  <si>
    <t>Desde la piscinaca de mi casoplón, lucho contra las emergencias sociales.</t>
  </si>
  <si>
    <t>PP Zafra</t>
  </si>
  <si>
    <t>https://okdiario.com/espana/2018/11/21/sanchez-mando-coche-oficial-vacio-valladolid-hacer-8-kms-del-aeropuerto-ciudad-3377374#.W_bMyIH1zXR.facebook</t>
  </si>
  <si>
    <t>Zafra</t>
  </si>
  <si>
    <t>Twitter oficial del Partido Popular Zafra</t>
  </si>
  <si>
    <t>http://www.ppzafra.com</t>
  </si>
  <si>
    <t>Tras 32 años sin viajes oficiales a Cuba, presidente de Gobierno de España visita la isla</t>
  </si>
  <si>
    <t>https://cnn.it/2DSnnIj</t>
  </si>
  <si>
    <t>ULCERAS.NET</t>
  </si>
  <si>
    <t>👉Simposio @UrgoMedical_es en Gneaupp 2018 con el Prof. José Luis Lázaro Martínez y el Dr. Juan Pedro Sánchez Ríos ☄️29 de Noviembre de 2018 a las 11:30h. 👉</t>
  </si>
  <si>
    <t>https://www.ulceras.net/empresas/novedades/invitacion-simposio-urgo---gneaupp-29-noviembre.pdf</t>
  </si>
  <si>
    <t>https://pbs.twimg.com/media/DsniJNLWwAAM_8N.jpg</t>
  </si>
  <si>
    <t>Espańa</t>
  </si>
  <si>
    <t>http://Ulceras.net Espacio divulgativo sobre #heridas y #úlceras para profesionales sanitarios y pacientes. #VisibilidadHeridasCronicas #woundcare</t>
  </si>
  <si>
    <t>http://www.Ulceras.net</t>
  </si>
  <si>
    <t>El presidente español, Pedro Sánchez, llega hoy a Cuba, Hacía 32 años que un jefe del Gobierno español no visitaba oficialmente la isla. En @EFEnoticias te contamos qué piensan de este viaje los cubanos de a pie:</t>
  </si>
  <si>
    <t>https://www.elperiodico.com/es/internacional/20181121/una-visita-familiar-asi-acogen-los-cubanos-el-viaje-de-pedro-sanchez-7160488</t>
  </si>
  <si>
    <t>Revista ¡HOLA!</t>
  </si>
  <si>
    <t>Pedro Sánchez elogia las series españolas y asegura que dan prestigio a nuestro país</t>
  </si>
  <si>
    <t>http://bit.ly/2Qg4UuV</t>
  </si>
  <si>
    <t>Las novedades sobre las estrellas de cine y música, tendencias de moda, belleza, recetas de cocina y las Casas Reales en el portal femenino líder en Internet.</t>
  </si>
  <si>
    <t>http://www.hola.com/</t>
  </si>
  <si>
    <t>Cómo y por qué Pedro Sánchez ha estropeado su experimento, por Carlos Elordi en @eldiarioes  #22N #FrancoHaVuelto #Transición #Monarquía #República</t>
  </si>
  <si>
    <t>http://www.multiforo.eu/Noticias/2018/Noviembre/Noviembre_22.htm</t>
  </si>
  <si>
    <t>Esto lo hemos sabido siempre en Cueto, por eso está en la cruz arriba, los rojos y cobardes republicanos ASESINOS CRIMINALES, tiraban ala gente por ahi a los acantilados ,,, eso lo sabe TODO Cueto y TODO #Santander</t>
  </si>
  <si>
    <t>https://www.elcorreodemadrid.com/historia/958121458/Memoria-historica-olvidada-Los-asesinados-por-los-rojos-que-Pedro-Sanchez-no-podra-dar-sepultura.html?fbclid=IwAR2TBFUBpzZn9Fwc3LpkaDILkrZIbUtFy4Vd9qaeGtEslt0y0R74AhzoFnI</t>
  </si>
  <si>
    <t>lis lapeña</t>
  </si>
  <si>
    <t>Con Pedro Sanchez todo es crispación: Antología del insulto en el Congreso: "¡Imbécil!", "¡Gilipollas!", "¡Canalla!"...  vía @elmundoes</t>
  </si>
  <si>
    <t>https://www.elmundo.es/espana/2018/11/22/5bf69d8ee5fdeac2548b467d.html</t>
  </si>
  <si>
    <t>Cuenca</t>
  </si>
  <si>
    <t>Conquense,amante del campo,árboles,caza, perros y la ecología.Motard,esquiador,injertador,hortelano,fotógrafo.No me gusta nada la izquierda que tenemos</t>
  </si>
  <si>
    <t>jose antonio</t>
  </si>
  <si>
    <t>Si Ábalos es "doctor honoris causa", y Adriana Lastra mano derecha del okupa Pedro Sánchez, Belén Esteban podría ser la ministra de cultura sin despeinarse. RT @AlejaSelles_: Una universidad peruana hizo “honoris causa” a Ábalos después de que le entregara 8.000€ a su seminario. 👇🏻El gobierno de la dignidad</t>
  </si>
  <si>
    <t>https://twitter.com/AlejaSelles_/status/1065525788806656000</t>
  </si>
  <si>
    <t>https://pbs.twimg.com/media/DsmCDWrXQAE2rbg.jpg</t>
  </si>
  <si>
    <t>Melilla</t>
  </si>
  <si>
    <t>El ayer es historia, el mañana es un misterio, pero el hoy es un regalo, por eso se llama presente.</t>
  </si>
  <si>
    <t>Sánchez exige disculpas a Casado por el escupitajo de ERC a Borrell, por... Este está mal... Cuando va a pedir disculpas a Rajoy. Por insultos y por la moción de mentiras.. @KettyGarat  vía @libertaddigital</t>
  </si>
  <si>
    <t>Gracias Zapatero Gracias Rajoy Gracias Pedro Sánchez Qué asco de ley RT @A3Noticias: El joven al que su exnovia acusó falsamente de acoso: "La Policía me decía sabemos que no pasa nada pero te tenemos que detener"</t>
  </si>
  <si>
    <t>https://twitter.com/A3Noticias/status/1065604060143935488
http://atres.red/lvfqb5</t>
  </si>
  <si>
    <t>Toni Cantó</t>
  </si>
  <si>
    <t>El Gobierno de Pedro Sánchez no obligará a que el castellano tenga una «proporción razonable» en clase.</t>
  </si>
  <si>
    <t>https://www.lasprovincias.es/comunitat/gobierno-proporcion-razonable-castellano-colegios-valencianos-20181122094853-nt.html</t>
  </si>
  <si>
    <t>Actor.Diputado de Ciudadanos por la provincia de Valencia en la 12ª legislatura.Presidente de la comisión de la lucha contra la corrupción y por la regeneración</t>
  </si>
  <si>
    <t>Reyes S. Quintero</t>
  </si>
  <si>
    <t>EL DOBLE DISCURSO DE LOS SOCIALISTAS, El presidente de #España Pedro Sánchez, se raja las vestiduras por execrar a un dictador muerto (Franco), pero no tiene empacho en reunirse con uno "vivito" en La Habana</t>
  </si>
  <si>
    <t>Alicia 🇪🇸</t>
  </si>
  <si>
    <t>Lo de los viajes de Willy Fog @sanchezcastejon, es un escándalo!! Hasta su jefe @Pablo_Iglesias_ le llama la atención. Pablo Iglesias pasa a la acción contra Pedro Sánchez: afea sus viajes y censura su inacción en España  vía @elmundoes</t>
  </si>
  <si>
    <t>https://www.elmundo.es/espana/2018/11/20/5bf407ae46163f14b08b460e.html</t>
  </si>
  <si>
    <t>Santa Ana de Coro</t>
  </si>
  <si>
    <t>Periodista, locutor, amante de la libertad y la democracia, nativo de Coro, Falcón</t>
  </si>
  <si>
    <t>#elvallenosetoca</t>
  </si>
  <si>
    <t>Pedro Sánchez acuerda con Marruecos pagar los estudios a los estudiantes marroquíes</t>
  </si>
  <si>
    <t>Pedro Sánchez arruinara España moral y económica mente ,es un burguez sin ética ni moral</t>
  </si>
  <si>
    <t>clara gonzalez</t>
  </si>
  <si>
    <t>https://okdiario.com/espana/2018/11/21/sanchez-mando-coche-oficial-vacio-valladolid-hacer-8-kms-del-aeropuerto-ciudad-3377374#.W_bLnwAfVjC.twitter</t>
  </si>
  <si>
    <t>Española,católica y de derchas muy orgullosa de serlo</t>
  </si>
  <si>
    <t>José R Gómez Reguera</t>
  </si>
  <si>
    <t>http://dlvr.it/QrsL2P</t>
  </si>
  <si>
    <t>Trinidad de Cuba</t>
  </si>
  <si>
    <t>Lic.en Español-Literatura.Máster en Educación Superior,Diplomado en Periodismo/Comunic. Social.Profesor universitario.Editor Jefe en Web Radio Trinidad</t>
  </si>
  <si>
    <t>http://trinidaddecubahoy.blogspot.com/</t>
  </si>
  <si>
    <t>Heriberto San Martín</t>
  </si>
  <si>
    <t>Los gobiernos de los tres países esperan recibir la Copa del Mundo en su edición de centenario Ciudad de México.- Los jefes de Gobierno de España, Pedro Sánchez, y el de Portugal, Antonio Costas, confirmaron ayer que ambos países...</t>
  </si>
  <si>
    <t>http://www.escanerdetamaulipas.com/?p=112085</t>
  </si>
  <si>
    <t>Reynosa, Tamaulipas</t>
  </si>
  <si>
    <t>http://escanerdetamaulipas.com</t>
  </si>
  <si>
    <t>El mandatario del Reino de España Pedro Sánchez Pérez Castejón sostendrá conversaciones oficiales con autoridades #Cuba y realizará otras actividades.</t>
  </si>
  <si>
    <t>ERC pide a Pedro Sánchez que aguante, evite elecciones y espere su apoyo en 2019</t>
  </si>
  <si>
    <t>https://www.elconfidencial.com/espana/cataluna/2018-11-21/erc-pide-pedro-sanchez-evite-elecciones_1658806/?utm_campaign=BotoneraWebapp&amp;utm_source=facebook&amp;utm_medium=social</t>
  </si>
  <si>
    <t>Si claro, cuando usted diga hombre!! A que hora le viene bien? Será posible!!! #ElPSOEDaSeguridad En @elconfidencial: ERC pide a Pedro Sánchez que aguante, evite elecciones y espere su apoyo no ahora sino en otoño.</t>
  </si>
  <si>
    <t>si pedro sanchez admite que el tema de Gibraltar es equivalente sl de un tratado de pesca es que se habra vuelto loco y el PSOE debera pagar tamaña felonia....que narices ha hecho en estos meses</t>
  </si>
  <si>
    <t>guasa tiene la vida</t>
  </si>
  <si>
    <t>Rivera culpa a Sánchez de la crispación política y defiende llamar a los independentistas "golpistas"  vía @eldiarioes la culpa te los males es Pedro Sánchez. Sí los independentistas son golpistas, entonces Cs es la nueva falange.</t>
  </si>
  <si>
    <t>https://m.eldiario.es/_31fabec1</t>
  </si>
  <si>
    <t>Me gusta las verdades y respetar a la gente</t>
  </si>
  <si>
    <t>Alberto Herrero Bono</t>
  </si>
  <si>
    <t>🔴 Reprobada por el Congreso, por el Senado y por los españoles. ¿A qué espera Pedro Sánchez para cesar a la ministra Delgado? #EleccionesYa</t>
  </si>
  <si>
    <t>pic.twitter.com/6LvmAfiBXm</t>
  </si>
  <si>
    <t>Calanda, Teruel</t>
  </si>
  <si>
    <t>Calandino. Ingeniero Mecánico. Diputado del @PPopular en el Congreso por la Provincia de Teruel. Vices. de Formación del PP de Teruel. ¡Bienvenid@!</t>
  </si>
  <si>
    <t>http://www.gppopular.es/diputados/jose-alberto-herrero-bono/</t>
  </si>
  <si>
    <t>MP</t>
  </si>
  <si>
    <t>http://chng.it/HB94bPVp</t>
  </si>
  <si>
    <t>Sure</t>
  </si>
  <si>
    <t>Los desayunos de Pedro Sánchez RT @Desayunos_tve: .@gabrielrufian: "Borrell es un mentiroso y ha puesto en la diana a un compañero. Nos llaman golpistas a un partido que tiene un presidente fusilado por golpistas. Quieren que miremos al techo y nos dejemos hacer y no, vamos a plantar cara. Borrell debe dimitir" #LosDesayunos</t>
  </si>
  <si>
    <t>https://twitter.com/Desayunos_tve/status/1065520394440863744</t>
  </si>
  <si>
    <t>(Inside Out)</t>
  </si>
  <si>
    <t>De mayor quería ser Gordi de los Gonnies Tommy de Pipí era mi ídolo y ahora quiero ser Dustin de Stranger Things,</t>
  </si>
  <si>
    <t>George Bailey 🇪🇸</t>
  </si>
  <si>
    <t>Es increíble que el Gobierno socialista de Pedro Sánchez les suba a los autónomos 5 € al mes y encima les digan que es por su bien, que así van a tener más prestaciones. No entiendo cómo no están todos los autónomos protestando en la calle ahora mismo. #Subidadeimpuestos</t>
  </si>
  <si>
    <t>Bedford Falls</t>
  </si>
  <si>
    <t>NinaMimmie</t>
  </si>
  <si>
    <t>Alguien sabe cuántos plazos faltan para liquidar la hipoteca que Pedro Sanchez hizo por la Moncloa? RT @elmundoes: El juez imputa a otros dos policías por las cargas del 1-O en Barcelona. Los forenses confirman que Roger Español perdió el ojo por una pelota de goma</t>
  </si>
  <si>
    <t>https://twitter.com/elmundoes/status/1065619212280967168
https://trib.al/oCVLk3Z</t>
  </si>
  <si>
    <t>Andorra</t>
  </si>
  <si>
    <t>Una persona normal y corriente. Entré en Twitter para difundir la injusticia en la desaparición de una niña, Caroline del Valle. Y me quedé 😊</t>
  </si>
  <si>
    <t>El presidente del Gobierno del Reino de #España 🇪🇸, excelentísimo señor Pedro Sánchez Pérez-Castejón, llegará hoy a #Cuba🇨🇺 en visita oficial. Más en  @CubaMINREX</t>
  </si>
  <si>
    <t>http://www.minrex.gob.cu/es/llegara-hoy-cuba-el-presidente-de-espana</t>
  </si>
  <si>
    <t>https://pbs.twimg.com/media/Dsnd3snXQAI7ynC.jpg</t>
  </si>
  <si>
    <t>Diario de Boadilla</t>
  </si>
  <si>
    <t>http://tinyurl.com/ybedd26x</t>
  </si>
  <si>
    <t>https://pbs.twimg.com/media/DsneFieXQAId0n1.jpg</t>
  </si>
  <si>
    <t>Boadilla del Monte, Madrid</t>
  </si>
  <si>
    <t>Última hora de la actualidad, política, opinión, sociedad, cultura, deportes, gente y ocio de Boadilla del Monte y la Comunidad de Madrid. También en @muni_MAD</t>
  </si>
  <si>
    <t>http://www.diariodeboadilla.es</t>
  </si>
  <si>
    <t>Francisco Rubira</t>
  </si>
  <si>
    <t>http://dlvr.it/QrsJQ1</t>
  </si>
  <si>
    <t>https://pbs.twimg.com/media/Dsnd27wUUAATXHF.jpg</t>
  </si>
  <si>
    <t>Leading the business development at http://www.elconfidencialdigital.com frubira@elconfidencialdigital.com Working Hard. Party Hard. +34 617 116 766</t>
  </si>
  <si>
    <t>http://www.linkedin.com/in/frubira</t>
  </si>
  <si>
    <t>CHARLIESWATX</t>
  </si>
  <si>
    <t>Me ha gustado un vídeo de @YouTube ( - Cataluña, indultos y jueces (Pedro Sánchez - Ignacio Cosidó)).</t>
  </si>
  <si>
    <t>http://youtu.be/WhjLRon6Pf0?a</t>
  </si>
  <si>
    <t>Joven sabio, sigue mis peripecias ;)</t>
  </si>
  <si>
    <t>https://www.youtube.com/c/CharlieSwatX</t>
  </si>
  <si>
    <t>Estefania</t>
  </si>
  <si>
    <t>http://somosecd.com/5rrz41</t>
  </si>
  <si>
    <t>Tenerife, Colombia</t>
  </si>
  <si>
    <t>Comerciante (Autonomo)</t>
  </si>
  <si>
    <t>#SánchezCuba Esta tarde llega a #Cuba el presidente del Gobierno español Pedro Sánchez, en un viaje que aún sin haber comenzado ya está generando polémica.</t>
  </si>
  <si>
    <t>Iluminada Sanchez</t>
  </si>
  <si>
    <t>Esos tres ???? Ni en broma ! Intentarían por todos los medios deshacer lo que ha conseguido en estos meses el gobierno de Pedro Sánchez RT @Marsais_: 🔺Señores: no les da miedo cuando escuchan pedir al Presidente del Gobierno q convoque elecciones? 🔺Se imaginan dónde quedarían las medidas de izquierda pendientes de aceptar? 🔺Creen que estas tres personas, van a continuar favoreciendo a los más necesitados? #ElPSOEDaSeguridad</t>
  </si>
  <si>
    <t>https://twitter.com/Marsais_/status/1064929143517839361</t>
  </si>
  <si>
    <t>https://pbs.twimg.com/media/DsdjaFnWwAEdAuR.jpg</t>
  </si>
  <si>
    <t>Madre y abuela .Mis labores.Cristiana . Socialista. Igualdad, libertad,fraternidad y justicia son mi estandarte</t>
  </si>
  <si>
    <t>Mercedes Fernández</t>
  </si>
  <si>
    <t>⚫️ Estamos con vosotros. Queremos industria y empleo, no la desolación y el paro a los que nos condena la política energética de Pedro Sánchez con la complicidad de la Federación Socialista Asturiana</t>
  </si>
  <si>
    <t>https://www.elcomercio.es/economia/trabajo/marcha-negra-mineros-leon-asturias-oviedo-20181122154413-nt.html</t>
  </si>
  <si>
    <t>Presidenta del Partido Popular de Asturias.</t>
  </si>
  <si>
    <t>http://www.pp-asturias.com/</t>
  </si>
  <si>
    <t>K*-*￦</t>
  </si>
  <si>
    <t>Pedro Sánchez mandó su coche oficial vacío a Valladolid para hacer los 8 kms del aeropuerto a la ciudad. #NuevaPolítica #PSOE #PorYParaElPueblo #PorQueÉlLoVale</t>
  </si>
  <si>
    <t>cuestin</t>
  </si>
  <si>
    <t>Pedro Sánchez tiene sobre la mesa la petición de los independentistas de cesar a Borrell.</t>
  </si>
  <si>
    <t>RadioTaxiJaén222222</t>
  </si>
  <si>
    <t>¡EN JAÉN HA NACIDO UNA ESTRELLA! ¡Enhorabuena al Chef Pedro Sánchez y a todo su equipo por conseguir la primera estrella Michelín para la ciudad de Jaén! Podéis disfrutar de su espectacular cocina en el Restaurante Bagá en la calle Rejas de la Capilla junto a San Ildefonso 😉.</t>
  </si>
  <si>
    <t>https://pbs.twimg.com/media/DsndE2WWkAAY7eQ.jpg</t>
  </si>
  <si>
    <t>La mayor flota de taxi en Jaén a tu servicio. Disponemos de Eurotaxis,cobro con tarjeta,reservas. Solicita tu taxi por llamada telefónica, WHATSAPP O TELEGRAM.</t>
  </si>
  <si>
    <t>http://www.radiotaxijaen.es</t>
  </si>
  <si>
    <t>Xan Anxo</t>
  </si>
  <si>
    <t>El socialismo aprendió con el desprecio y linchamiento a Pedro Sánchez,con ideología del paleolítico donde barones y caziques en el caso de los pueblos tienen al socialismo como suyo propio,el socialismo no son sus afiliados,cuando se entienda eso,serás socialista.</t>
  </si>
  <si>
    <t>Director Dpto.Técnico. Energías Renovables. La lucha por la igualdad de todas las personas.Por una verdadera Democracia.</t>
  </si>
  <si>
    <t>juan carlos herrera</t>
  </si>
  <si>
    <t>http://vozdesdeeldestierro.juancarlosherreraacosta.over-blog.es/2018/11/pedro-sanchez-inicia-una-visita-a-cuba-sin-citas-con-la-disidencia.html</t>
  </si>
  <si>
    <t>Syracuse Nueva York</t>
  </si>
  <si>
    <t>Exprisionero político en dos ocasiones en la Cuba de los hermanos Castro, luchador por la Libertad de mi Patria y por el respeto a los derechos humanos</t>
  </si>
  <si>
    <t>http://vozdesdeeldestierro.juancarlosherreraacosta.over-blog.es</t>
  </si>
  <si>
    <t>🇪🇸 Antonio Silva 🇪🇸</t>
  </si>
  <si>
    <t>rata de cloaca. Pedro Sánchez mandó su coche oficial vacío a Valladolid para hacer los 8 kms del aeropuerto a la ciudad</t>
  </si>
  <si>
    <t>https://okdiario.com/espana/2018/11/21/sanchez-mando-coche-oficial-vacio-valladolid-hacer-8-kms-del-aeropuerto-ciudad-3377374#.W_bIGIIIQbQ.twitter</t>
  </si>
  <si>
    <t>Twitter es el mejor ejecutor d</t>
  </si>
  <si>
    <t>Sentir empatía, por alguien que no conoces, que además te niegan a ti los derechos que te piden 😂😉😉😂</t>
  </si>
  <si>
    <t>Hortanoticias</t>
  </si>
  <si>
    <t>Hoy la opinión de @AmparoFolgado sobre los viajes de Pedro Sánchez en 'La vuelta al mundo'</t>
  </si>
  <si>
    <t>https://www.hortanoticias.com/opinion-amparo-folgado-la-vuelta-al-mundo/</t>
  </si>
  <si>
    <t>https://pbs.twimg.com/media/DsnbogvXQAAm2sU.jpg</t>
  </si>
  <si>
    <t>Comunitat Valenciana</t>
  </si>
  <si>
    <t>Hortanoticias es el diario digital de la comarca de l'Horta donde podéis encontrar las noticias y eventos de las 43 localidades de l´Horta</t>
  </si>
  <si>
    <t>http://www.hortanoticias.com</t>
  </si>
  <si>
    <t>El País Opinión</t>
  </si>
  <si>
    <t>#Editorial La Comisión Europea debilita la posición del Gobierno de Pedro Sánchez con sus objeciones a la propuesta presupuestaria</t>
  </si>
  <si>
    <t>http://cort.as/-CKmH</t>
  </si>
  <si>
    <t>Sobre todo, opinamos.</t>
  </si>
  <si>
    <t>http://elpais.com/elpais/opinion.html</t>
  </si>
  <si>
    <t>Noticias CMM</t>
  </si>
  <si>
    <t>🇪🇸🇨🇺Pedro Sánchez viaja a #LaHabana #Cuba en la que será la primera visita de estado de un mandatario español en 32 años El presidente de gobierno quiere relanzar las relaciones bilaterales. Pero la visita tiene ante todo un marcado contenido económico #sanchezacuba #Turismo</t>
  </si>
  <si>
    <t>pic.twitter.com/LDzQucI82g</t>
  </si>
  <si>
    <t>Castilla-La Mancha, España</t>
  </si>
  <si>
    <t>La última hora en Castilla-La Mancha y las noticias del equipo de profesionales de @CMM_es. Síguenos también en Instagram, Youtube y Facebook.</t>
  </si>
  <si>
    <t>http://www.NoticiasCMM.es</t>
  </si>
  <si>
    <t>Mari Carmen Sánchez</t>
  </si>
  <si>
    <t>Bilbao- España</t>
  </si>
  <si>
    <t>Portavoz del PP Ayuntamiento de Galdakao</t>
  </si>
  <si>
    <t>Antoni</t>
  </si>
  <si>
    <t>EL FRENOPÁTICO TIENE MUCHO TRABAJO POR DELANTE...CON ESTE "DOKTOR" Sánchez exige disculpas a Casado por el escupitajo de ERC a Borrell, por @KettyGarat  vía @libertaddigital</t>
  </si>
  <si>
    <t>En Cataluña vivimos una auténtica y brutal opresión NAZIonalista, ahora apoyada por comunistas que no se lavan y V.B de todos los gobiernos que ha tenido España</t>
  </si>
  <si>
    <t>Muriel Rot</t>
  </si>
  <si>
    <t>Me pico con Outlander y me olvidó hasta de Pedro Sánchez</t>
  </si>
  <si>
    <t>pic.twitter.com/ZxDyYAXwYd</t>
  </si>
  <si>
    <t>-Los revolucionarios o son estúpidos o deshonestos- Vasili Grossman http://voicesfromspain.com</t>
  </si>
  <si>
    <t>#EditorialDieter: "Que Pedro Sánchez es doctor lo sabe todo el mundo gracias a su famosa tesis. A partir de este viaje a Cuba, sabremos si, además, es forense de los derechos humanos porque le interesan más los de los muertos, que los de los vivos que le escriben pidiendo ayuda".</t>
  </si>
  <si>
    <t>Yosvani Saez</t>
  </si>
  <si>
    <t>Pedro Sanchez no se encontrarà con Los Opositores en Cuba. Ellos no le interesan: no tienen hoteles, negocios, no le pueden conceder tratos secretos, alianzas generosas e invisibles. No le sirven para nada.</t>
  </si>
  <si>
    <t>Florida, USA</t>
  </si>
  <si>
    <t>Quería Ser un gran delincuente, respetado y temido, pero la literatura vino a salvarme: a medias, porque todavía ansío morirme en mi huerto; rodeado de nietos</t>
  </si>
  <si>
    <t>Artur ☭</t>
  </si>
  <si>
    <t>Ciudadanos llama a una manifestación "si crees que Pedro Sánchez se está cargando España". Es posible hacer un discurso más vacío?</t>
  </si>
  <si>
    <t>Galiza-Madrid</t>
  </si>
  <si>
    <t>Denantes mortos que escravos</t>
  </si>
  <si>
    <t>PP Bizkaia</t>
  </si>
  <si>
    <t>Nuestra presidenta, @RaquelGlezDiez presenta mañana una batería de preguntas sobre Bizkaia formuladas al Gobierno de Pedro Sánchez y que han sido registradas en el Congreso de los Diputados 🗓Mañana viernes, 23 de noviembre 🕥10:30 horas 🏠Sede del PP en Bizkaia</t>
  </si>
  <si>
    <t>https://pbs.twimg.com/media/DsnbG2FXoAApU4e.jpg</t>
  </si>
  <si>
    <t>Bizkaia, País Vasco</t>
  </si>
  <si>
    <t>Contamos y queremos que nos cuentes porque, para el PP de Bizkaia, tú cuentas. Abrimos etapa nueva. Más cerca de ti.Sigue a nuestra presidenta @RaquelGlezDiez</t>
  </si>
  <si>
    <t>http://www.ppbizkaia.com</t>
  </si>
  <si>
    <t>Theresa May, tras hablar con Pedro Sánchez: "Lograremos un acuerdo para toda la familia de Reino Unido, incluida Gibraltar"  vía @elmundoes</t>
  </si>
  <si>
    <t>La visita del presidente español Pedro Sánchez a #LaHabana entre el 22 y el 23 de noviembre de 2018, ha activado expectativas tanto en el país ibérico como en el archipiélago antillano. #España  @CUBAH0RA</t>
  </si>
  <si>
    <t>https://pbs.twimg.com/media/Dsna89UUcAAwe9h.jpg</t>
  </si>
  <si>
    <t>Fernando Alonso Giro</t>
  </si>
  <si>
    <t>Pedro Sánchez: Mentiroso, chulo, jeta, plagiario, mediocre y censor</t>
  </si>
  <si>
    <t>https://okdiario.com/opinion/2018/09/15/mentiroso-chulo-jeta-plagiario-mediocre-censor-3117399#.W_bGyaG-4RO.twitter</t>
  </si>
  <si>
    <t>Diario de Pozuelo</t>
  </si>
  <si>
    <t>📰 Garrido pide a Pedro Sánchez eliminar el límite del fondo de competitividad #ComunidadDeMadrid</t>
  </si>
  <si>
    <t>http://tinyurl.com/ycb3zthy</t>
  </si>
  <si>
    <t>https://pbs.twimg.com/media/Dsna4R0WkAASc3Y.jpg</t>
  </si>
  <si>
    <t>Pozuelo de Alarcón, Madrid</t>
  </si>
  <si>
    <t>Periódico con las últimas noticias de Pozuelo de Alarcón. Comentarios de los lectores en @pozueloopina. También en https://facebook.com/diariodepozuelo</t>
  </si>
  <si>
    <t>http://www.diariodepozuelo.es</t>
  </si>
  <si>
    <t>Amparo Ruìz</t>
  </si>
  <si>
    <t>Imágenes para el facherío que anda vociferando e insultando por las redes sociales, contra la visita del Presidente del Gobierno Pedro Sanchez a Cuba. Tomaros una tila no os vaya dar una subida de tensión.</t>
  </si>
  <si>
    <t>https://pbs.twimg.com/media/DsnaM8XXcAEox96.jpg</t>
  </si>
  <si>
    <t>Casada con Fernando</t>
  </si>
  <si>
    <t>Fray Josepho</t>
  </si>
  <si>
    <t>Hay quien dice que Pedro Sánchez está muy blandito con la dictadura cubana. Injusta acusación. Denle tiempo. Esperen a que el dictador lleve 43 años muerto.</t>
  </si>
  <si>
    <t>La sátira de Libertad Digital. También en @eslatarde de @esradio.</t>
  </si>
  <si>
    <t>http://www.libertaddigital.com/opinion/fray-josepho/</t>
  </si>
  <si>
    <t>El engolamiento de el okupa Pedro Sánchez mandó su coche oficial vacío a Valladolid para hacer los 8 kms del aeropuerto a la ciudad</t>
  </si>
  <si>
    <t>Juan Carlos Vélez</t>
  </si>
  <si>
    <t>May en Westminster: “anoche hable con Pedro Sánchez, hemos trabajado de forma constructiva para el acuerdo de salida y espero que podamos seguir haciéndolo para la futura relación. Pero déjenme ser absolutamente clara: la soberanía británica de Gibraltar quedará protegida”.</t>
  </si>
  <si>
    <t>Londres / Sevilla / Madrid</t>
  </si>
  <si>
    <t>Periodista. Empecé a hacer radio a los 2años con papá en casa. Corresponsal de @OndaCero_es y @A3Noticias en UK desde Londres. /// Journalist. UK correspondent</t>
  </si>
  <si>
    <t>http://www.youtube.com/jcvelez</t>
  </si>
  <si>
    <t>Paco 🇪🇸</t>
  </si>
  <si>
    <t>Español y Madridista sin complejos</t>
  </si>
  <si>
    <t>http://www.facebook.com/profile.php?id=100000549097887&amp;ref=tn_tinyman</t>
  </si>
  <si>
    <t>macarena</t>
  </si>
  <si>
    <t>Sr Borrell, todos creemos en usted, contrariamente a Pedro Sánchez y sus ministras que piensan que es usted un mentiroso</t>
  </si>
  <si>
    <t>Pedro Sánchez se dedica a reunirse con dictadores vivos.Mientras tanto aquí en España persigue a un cadáver de un dictador muerto.</t>
  </si>
  <si>
    <t>DIEGO GONZALEZ 🇪🇸</t>
  </si>
  <si>
    <t>Pedro Sánchez pasa de defender la exhumación de Franco a rendir honores al tirano Hassan II en su mausoleo de Rabat</t>
  </si>
  <si>
    <t>NO A LAS INJUSTICIAS porque hay leyes que se deben modificar, para que haya verdadera igualdad para todos, y porque la Justicia si no es Justa,no es Justicia.</t>
  </si>
  <si>
    <t>Me ha gustado un vídeo de @YouTube ( - 🇪🇸Pedro Sánchez llega a Valladolid y ASI LO</t>
  </si>
  <si>
    <t>http://youtu.be/1XYgnixCpXs?a</t>
  </si>
  <si>
    <t>Andrés De Francisco 🎗</t>
  </si>
  <si>
    <t>Hay que reconocer una cosa de Pedro Sánchez que es un superviviente a sus propios compañeros de partidos que lo han querido hundir y apuñalar, pues los peores enemigos de Sánchez son los mismos socialista, esos que llaman la vieja guardia, los felipistas, los susanas, los ibarras</t>
  </si>
  <si>
    <t>Catalunya.</t>
  </si>
  <si>
    <t>Yves Guérif</t>
  </si>
  <si>
    <t>Noticias de Bankia: Sánchez no cree que Bankia deba ser pública, pero no quiere venderla aún</t>
  </si>
  <si>
    <t>https://www.elconfidencial.com/empresas/2018-11-21/pedro-sanchez-bankia-publica_1659242/</t>
  </si>
  <si>
    <t>Sautron</t>
  </si>
  <si>
    <t>Publier ne veut pas dire approuver, l'information avant tout. Actualité : bancaire économique sociale. https://flashinfosyg.wordpress.com/</t>
  </si>
  <si>
    <t>http://www.nicolas-guerif.com</t>
  </si>
  <si>
    <t>FECEC FICEC</t>
  </si>
  <si>
    <t>Publier ne veut pas dire approuver, l'information avant tout. Informations bancaires et économiques européenne https://flashinfosyg.wordpress.com/</t>
  </si>
  <si>
    <t>http://www.fecec.net</t>
  </si>
  <si>
    <t>#CNN Tras 32 años sin viajes oficiales a Cuba, presidente de Gobierno de España visita la isla. Han pasado 32 años desde que Felipe González hizo un viaje oficial a Cuba como presidente del gobierno español. Ahora, el turno es para Pedro Sánch...</t>
  </si>
  <si>
    <t>http://tinyurl.com/y8t6zhqj</t>
  </si>
  <si>
    <t>https://pbs.twimg.com/media/DsnXgHmXQAERC7N.jpg</t>
  </si>
  <si>
    <t>celestino sanchez</t>
  </si>
  <si>
    <t>Amenazas del estado que parezca como si na😡 Marlaska avisa a Villarejo si suelta la "bomba final": "El Estado tiene resortes para que no lo pongan en jaque"</t>
  </si>
  <si>
    <t>Barbera del Valles, Catalunya</t>
  </si>
  <si>
    <t>@iaioflautas, hija del 15M, comunistas catalán, crear espacios donde el capitalismo no este ni se le espere #VidaDigna #RepublicaCatalanaDel99 #AdeuBorbón</t>
  </si>
  <si>
    <t>Revista Mercacei</t>
  </si>
  <si>
    <t>El chef Pedro Sánchez (restaurante Bagá), primer cocinero de la provincia de Jaén en obtener una estrella Michelin</t>
  </si>
  <si>
    <t>http://www.mercacei.com/noticia/49802/actualidad/el-chef-pedro-sanchez-restaurante-baga-primer-cocinero-de-la-provincia-de-jaen-en-obtener-una-estrella-michelin.html</t>
  </si>
  <si>
    <t>Revistas especializadas en el aceite de oliva y el olivar. News and reviews about olive oil. Magazines dedicated to the olive oil industry.</t>
  </si>
  <si>
    <t>http://www.mercacei.com</t>
  </si>
  <si>
    <t>CNN | Tras 32 años sin viajes oficiales a Cuba, presidente de Gobierno de España visita la isla</t>
  </si>
  <si>
    <t>http://dlvr.it/QrsBcn</t>
  </si>
  <si>
    <t>https://pbs.twimg.com/media/DsnXO0eUcAEQN5I.jpg</t>
  </si>
  <si>
    <t>Joan Guirado</t>
  </si>
  <si>
    <t>Haciendo un Pedro Sánchez! #CruzandoElAtlantico #Falconeti</t>
  </si>
  <si>
    <t>https://pbs.twimg.com/media/DsnXDHOXQAIdQI6.jpg</t>
  </si>
  <si>
    <t>Olot, Espanya</t>
  </si>
  <si>
    <t>Hago de periodista, me gusta preguntar. De Girona en Madrid. Ahora tras los pasos del presidente @sanchezcastejon, siguiendo la actividad de Gobierno y @PSOE</t>
  </si>
  <si>
    <t>Madrid Actual</t>
  </si>
  <si>
    <t>🔝 Garrido pide a Pedro Sánchez eliminar el límite del fondo de competitividad #ComunidadDeMadrid</t>
  </si>
  <si>
    <t>http://bit.ly/2qVUHWm</t>
  </si>
  <si>
    <t>https://pbs.twimg.com/media/DsnW_RBWoAEvM_7.jpg</t>
  </si>
  <si>
    <t>El periódico de Madrid y sus municipios. Noticias de Madrid, Comunidad de Madrid, Actualidad, Política, @QueHacerMadrid, @deportesMAD, @MadridBlogs, @muni_mad</t>
  </si>
  <si>
    <t>http://www.madridactual.es</t>
  </si>
  <si>
    <t>@Mariano9605</t>
  </si>
  <si>
    <t>El PNV no cierra la puerta a los Presupuestos y culpa a Rajoy de “parte” del varapalo de Bruselas  Andoni Ortuzar asegura que si Pedro Sánchez es “capaz de crear las condiciones para hablar con los partidos catalanes, el PNV va a estar”.</t>
  </si>
  <si>
    <t>España.</t>
  </si>
  <si>
    <t>60 años desde mi nacimiento. NO UTILIZO DM</t>
  </si>
  <si>
    <t>José Manuel Sánchez Fornet</t>
  </si>
  <si>
    <t>¿Pedro Sánchez y Pablo Iglesias no sabían esto? ¿Saben que España es un estado de derecho? ¿No se les ocurrió pedir un informe jurídico, o creen estar en una dictadura bananera donde su voluntad pasa por encima de la ley? Un ridículo espantoso el de ambos.</t>
  </si>
  <si>
    <t>Mi Biblia, la Declaración Universal de los Derechos Humanos. Agnóstico. Personaje histórico favorito, un revolucionario: Jesús de Nazaret.</t>
  </si>
  <si>
    <t>http://confidencialandaluz.com/author/sanchezfornet/</t>
  </si>
  <si>
    <t>Emilio Alcívar</t>
  </si>
  <si>
    <t>LibertadLamor</t>
  </si>
  <si>
    <t>Congreso de los Diputados: Los presupuestos y la situación de la Justicia, en la sesión de control Mientras no haya una JUSTICIA INDEPENDIENTE, COMO PROPONE RIVERA,SEGUIREMOS SIN UNA DEMOCRACIA REAL</t>
  </si>
  <si>
    <t>https://www.elconfidencial.com/multimedia/video/espana/2018-11-14/sesion-control-pedro-sanchez-casado-presupuesto-justicia_1646478/</t>
  </si>
  <si>
    <t>Aravaca</t>
  </si>
  <si>
    <t>Coherente conmigo misma y respetuosa con los demas</t>
  </si>
  <si>
    <t>¿No ha pensado Pedro Sánchez en esta chica para ministra-ministro? RT @HispaniaFortius: 📽️Le he enseñado este vídeo a mi hija pequeña, y a parte de reirse mucho me ha preguntado: -¿Esto no será de un programa cómico, verdad? -¿En serio, esa señora es un cargo público? Anonadada la dejé, cuando la contesté que sí⤵️ #FelizJueves</t>
  </si>
  <si>
    <t>https://twitter.com/HispaniaFortius/status/1065561620586393600</t>
  </si>
  <si>
    <t>pic.twitter.com/Ydof9Dj5Cg</t>
  </si>
  <si>
    <t>Amanda Martinez Vega</t>
  </si>
  <si>
    <t>El presidente del Gobierno del Reino de España, Pedro Sánchez Pérez-Castejón, llegará este jueves a #Cuba en visita oficial. #Artemisa #RadioArtemisa</t>
  </si>
  <si>
    <t>Vivo en Artemisa, Cuba y Trabajo en la Emisora Provincial Radio Artemisa</t>
  </si>
  <si>
    <t>http://www.artemisaradioweb.icrt.cu/index.php?lang=es</t>
  </si>
  <si>
    <t>Pedro Sánchez exige disculpas a Casado por el escupitajo de ERC a Borrell</t>
  </si>
  <si>
    <t>Ballesteros</t>
  </si>
  <si>
    <t>Métale caña a Pedro Sánchez, Presidente. RT @DiazCanelB: #MaisQueMedicos Los médicos cubanos fueron a #Brasil a lugares intrincados para cuidar de los enfermos. Lejos de su familia permanecieron para devolverle la sonrisa a un anciano o a un niño. Por su altruista y noble labor merecen respeto. #SomosCuba</t>
  </si>
  <si>
    <t>https://twitter.com/DiazCanelB/status/1065317048702697472</t>
  </si>
  <si>
    <t>Alcantarilla, Murcia</t>
  </si>
  <si>
    <t>Ciencias Politicas UMU. Camarero como García Oliver. Bajista. VCF.</t>
  </si>
  <si>
    <t>Laga</t>
  </si>
  <si>
    <t>Pedro Sánchez ya ha viajado más que Henry Kissinger.</t>
  </si>
  <si>
    <t>Argitxu</t>
  </si>
  <si>
    <t>Si¡¡¡ como casado cuando llama a Pedro Sánchez golpista..igual. RT @CastigadorY: Lo que ha pasado hoy con Gabriel Rufián en el congreso es lo que el lleva provocando durante mucho tiempo, no se puede consentir que ese individuo falte el respeto y pisotee las intervenciones de la mayoría de diputados, confunde la libertad de expresión con libertinaje.</t>
  </si>
  <si>
    <t>https://twitter.com/CastigadorY/status/1065255140129759232</t>
  </si>
  <si>
    <t>pic.twitter.com/o9p1Yu0OZh</t>
  </si>
  <si>
    <t>.Amo.mi perrita argi.. Prefiero mi soledad k la decepción de una mala compania¡¡</t>
  </si>
  <si>
    <t>Miguel#FondoReptiles</t>
  </si>
  <si>
    <t>Este chiquillo no tiene vergüenza... Pedro Sánchez mandó su coche oficial vacío a Valladolid para hacer los 8 kms del aeropuerto a la ciudad</t>
  </si>
  <si>
    <t>https://okdiario.com/espana/2018/11/21/sanchez-mando-coche-oficial-vacio-valladolid-hacer-8-kms-del-aeropuerto-ciudad-3377374#.W_bAgC0wUWR.twitter</t>
  </si>
  <si>
    <t>Los Palacios y Villafranca</t>
  </si>
  <si>
    <t>Twitter Oficial de Miguel Marco Ruiz. Para saber lo que #EstáPasando en #LosPalacios y #Andalucía que #TeleValle y #CanalSursana no te cuentan.</t>
  </si>
  <si>
    <t>http://facebook.com/miguelmarcoruiz</t>
  </si>
  <si>
    <t>Santa Cruz</t>
  </si>
  <si>
    <t>Pedro Sánchez no verá a la oposición cubana para no desairar al castrismo en su viaje a la isla  Academia de Béisbol Menor Santa Cruz @danilozanomadri</t>
  </si>
  <si>
    <t>Academia de Béisbol Menor “Santa Cruz”Afiliada a la A.B.E.M. y L.B.M. Zamora, Inscrita en IDERMI bajo el N° CJ-N-427-2009, Afiliada el 23 de Mayo 1.999</t>
  </si>
  <si>
    <t>http://www.academiadebeisbolsantacruz.com.ve</t>
  </si>
  <si>
    <t>InfoJaén.com</t>
  </si>
  <si>
    <t>http://www.infojaen.com/la-junta-felicita-a-pedro-sanchez-baga-exalumno-de-la-laguna-por-su-estrella-michelin-la-primera-de-la-provincia/</t>
  </si>
  <si>
    <t>https://pbs.twimg.com/media/DsnUXrKU4AAYT1J.jpg</t>
  </si>
  <si>
    <t>La web con toda la información de la provincia</t>
  </si>
  <si>
    <t>http://www.infojaen.com</t>
  </si>
  <si>
    <t>Dani Plaza</t>
  </si>
  <si>
    <t>Pena me da lo de Pedro Sánchez. Le costó entrar en el equipo y después de entrar un par de partidos como titular ha encadenado varias lesiones. Va a tener que volver a ganarse oportunidades desde cero RT @RCDeportivo: Dos futbolistas de baja médica de cara al choque ante Osasuna</t>
  </si>
  <si>
    <t>https://twitter.com/RCDeportivo/status/1065607598936809474?s=19
https://www.rcdeportivo.es/noticia/dos-futbolistas-de-baja-medica-de-cara-al-choque-ante-osasuna?utm_source=dlvr.it&amp;utm_medium=twitter</t>
  </si>
  <si>
    <t>https://pbs.twimg.com/media/DsnMdrRVYAAIeJ3.jpg</t>
  </si>
  <si>
    <t>Leganés/A Coruña</t>
  </si>
  <si>
    <t>Como fui incapaz de dominar la pelota, me puse a escribir sobre ella. Periodista (?). Aprendiendo en @escuelaCES y colaborando en @MENziges. Hakuna matata</t>
  </si>
  <si>
    <t>https://www.linkedin.com/in/daniel-plaza-acosta-114a0513a/</t>
  </si>
  <si>
    <t>Mandaselo a Pedro Sanchez que va a rendirle pleitesia a Raul Castro! Pero arremete contra Franco! RT @tony73_: Condene las dictaduras venezolana y cubana. Condene la ideología de ETA y no blanquee sus crímenes. Y aprenda historia ignorante: ese fascismo contra el que brama viene de su adorado Socialismo y de ahí el Comunismo, las peores ideologías de la historia. Y hágase un favor: lea.</t>
  </si>
  <si>
    <t>https://twitter.com/tony73_/status/1065581066730246144
https://twitter.com/LaFallaras/status/1065297288761876486</t>
  </si>
  <si>
    <t>Capitan Manuel</t>
  </si>
  <si>
    <t>Sr. Presiden de #España Pedro Sánchez.....Usted es un asqueroso cobarde......No por sus ideas, sino por sus actos.....#Cuba</t>
  </si>
  <si>
    <t>https://pbs.twimg.com/media/DsnT4CDW0AAr8ro.jpg</t>
  </si>
  <si>
    <t>Freedom Fighter. Naval Commander. Civil &amp; Pacific Actions Skills. Sea Lover. Peace &amp; Humans Rights Defender.</t>
  </si>
  <si>
    <t>Víctor de la Serna</t>
  </si>
  <si>
    <t>Amnistía Internacional (España) traiciona a su matriz mundial, rebajando las exigencias a Cuba de cara al viaje de Pedro Sánchez. Aquí ya todo está tan podrido...</t>
  </si>
  <si>
    <t>https://drive.google.com/file/d/16TS16Ks2sT1ctbdnVMkfMvkTEUdDVNs0/view</t>
  </si>
  <si>
    <t>El Mundo, Madrid.</t>
  </si>
  <si>
    <t>Wine, writing and hoops. De Madrid al viñedo. Journalism is a tolerable addiction. Una vez fuimos campeones del mundo.</t>
  </si>
  <si>
    <t>http://elmundovino.elmundo.es/elmundovino/</t>
  </si>
  <si>
    <t>Sr. Presiden de #España Pedro Sánchez.....Usted es un asqueroso cobarde......No por sus ideas, sino por sus actos.....#Cuba RT @26deLasTunas: El presidente del Gobierno, Pedro Sánchez, viajará hoy a #Cuba en la primera visita oficial que realiza al país caribeño un gobernante de #España en más de tres décadas. 🔗➡️ 👥@istvanojeda @chamberohoy @JoseCarlosRguez @PartidoPCC @TribunaHabana @Maril56</t>
  </si>
  <si>
    <t>Pedro Sánchez @sanchezcastejon, Presidente del gobierno español, inicia hoy una visita oficial a Cuba respondiendo a una invitación oficial del Presidente cubano @DiazCanelB. Es la primera visita de un jefe de gobierno español desde la realizada en 1986 por Felipe González.</t>
  </si>
  <si>
    <t>https://pbs.twimg.com/media/Dsmu-XJUwAAGhJc.jpg</t>
  </si>
  <si>
    <t>https://twitter.com/26deLasTunas/status/1065611310380052483
http://www.periodico26.cu/index.php/es/de-cuba-es/item/13066-presidente-de-gobierno-espanol-viaja-en-visita-oficial-a-cuba</t>
  </si>
  <si>
    <t>https://pbs.twimg.com/media/DsnPpiOU4AEwp3f.jpg</t>
  </si>
  <si>
    <t>Fini Torralba</t>
  </si>
  <si>
    <t>Pedro Sánchez ampliará por decreto en enero los permisos de paternidad  vía @ecd_</t>
  </si>
  <si>
    <t>Madre y actualmente Técnico de Org. y RRHH en Administración P. #FuncionPublica #DerechoLaboral #comunicacion #innovacion #jurista 3.0</t>
  </si>
  <si>
    <t>http://finitorralba.blogspot.com.es/</t>
  </si>
  <si>
    <t>VOX Morata de Tajuña</t>
  </si>
  <si>
    <t>¿Era Francisco Franco un dictador? Sí, terminó de serlo hace 43 años. ¿Es Raúl Castro un dictador? Sí, y todavía sigue siéndolo. ¿ No repudia Pedro Sánchez a Francisco Franco por ser dictador ? Sí. ¿ Por qué no repudia a Raúl Castro por ser dictador y aún más, va a visitarlo ? .</t>
  </si>
  <si>
    <t>http://www.voxespana.es</t>
  </si>
  <si>
    <t>Javier PM</t>
  </si>
  <si>
    <t>Me gustaría saber de dónde se ha sacado Pedro Sánchez la propuesta del Mundial Península-Marruecos (que por cierto debe haber sido su única idea como presi). Distinta cultura, sociedad, religión, nivel económico. Dos continentes separados por un mar. No tiene sentido.</t>
  </si>
  <si>
    <t>Consultor de Marketing titulado en #ComunicaciónDigital. Cómico delante y detrás de cámara. Birracial y bilingüe. | ¿Quieres contarme algo? 》jpmpranks@gmail.com</t>
  </si>
  <si>
    <t>http://www.youtube.com/user/JFJtvEs</t>
  </si>
  <si>
    <t>ÁNGELUS DE MARIE</t>
  </si>
  <si>
    <t>🤣🤣🤣🤣🤣🤣🤣🤣🤣🤣🤣🤣🤣🤣🤣🤣🤣🤣🤣 Theresa May, confiada en el acuerdo sobre el Brexit tras hablar con Pedro Sánchez.</t>
  </si>
  <si>
    <t>Poeta del intimismo y del yo absoluto. Fundador de sí mismo y creador de palabras ocultas. Poeta del Vino. Politólogo. Católico.</t>
  </si>
  <si>
    <t>https://angelusdemarie.tumblr.com/</t>
  </si>
  <si>
    <t>GanaElPSOE</t>
  </si>
  <si>
    <t>"A cada insulto que recibamos, nosotros una propuesta,a cada descalificacion,una idea,y a cada exageración,una sonrisa" (ZP)</t>
  </si>
  <si>
    <t>Pedro Sánchez es una versión de la perra Laika. Le gustan las alturas, ir por tierra es para pringados. Espero que lleve al PSOE a la más alta pérdida de votos.</t>
  </si>
  <si>
    <t>https://pbs.twimg.com/media/DsnS7BUXoAAPgVS.jpg</t>
  </si>
  <si>
    <t>Llegará hoy a #Cuba el Presidente de #España, excelentísimo señor Pedro Sánchez Pérez-Castejón en visita oficial. Durante su estancia sostendrá conversaciones oficiales con el Presidente de los Consejos de Estado y de Ministros, Miguel Díaz-Canel Bermúdez @RadioGtmo</t>
  </si>
  <si>
    <t>https://pbs.twimg.com/media/DsnSx3tWoAAHEL4.jpg</t>
  </si>
  <si>
    <t>MasterBlog n Español</t>
  </si>
  <si>
    <t>Lea todas las noticias de hoy Nov 22 sobre #Venezuela. Titulares: “Pedro Sánchez no verá a la oposición cubana…”</t>
  </si>
  <si>
    <t>https://nzzl.us/1j0Jh6k</t>
  </si>
  <si>
    <t>Global</t>
  </si>
  <si>
    <t>Noticias, Informes y Artículos de Opinión sobre temas de Actualidad, Economía y Finanzas, Recursos Naturales, América Latina y otros Misceláneos de la Web</t>
  </si>
  <si>
    <t>http://bit.ly/MasterEspanol</t>
  </si>
  <si>
    <t>Matthew Bennett</t>
  </si>
  <si>
    <t>29 preguntas para Pedro Sánchez sobre su tesis doctoral  RT @montesinospablo: Pese a intentar evitarlo, Pedro Sánchez tendrá que dar explicaciones por su polémica tesis en el Senado. El PP también quiere que comparezcan sus profesores. La comisión echará a andar a principios de diciembre</t>
  </si>
  <si>
    <t>https://www.patreon.com/posts/29-preguntas-su-21663589
https://twitter.com/montesinospablo/status/1065613078916722688</t>
  </si>
  <si>
    <t>https://pbs.twimg.com/media/DsnRcYiWkAIxbIF.jpg</t>
  </si>
  <si>
    <t>Spain news and analysis, in English and Spanish. Creator of @thespainreport. Signal, WhatsApp: (0034) 647818143 matthew@thespainreport.com</t>
  </si>
  <si>
    <t>https://www.patreon.com/bePatron?c=1851057</t>
  </si>
  <si>
    <t>Rambar_48</t>
  </si>
  <si>
    <t>Keats</t>
  </si>
  <si>
    <t>Que dice Pedro Sánchez que los de la OCDE y los que le piden desde Europa que cambie los presupuestos no tienen ni idea de Economía. Que él es Doctor y que, si necesitan clases particulares, el Falcon le lleva donde sea en un periquete. #FelizJueves</t>
  </si>
  <si>
    <t>Estudié Derecho y Económicas. Hoy oposito a Abogacía del Estado. Me niego a aceptar cualquier dogma y soy fan de los que me llaman facha como argumento.</t>
  </si>
  <si>
    <t>https://blogjkeats.wordpress.com/</t>
  </si>
  <si>
    <t>Mariela de Ulloa</t>
  </si>
  <si>
    <t>Pedro Sánchez, ese que condena la dictadura franquista y quiere desenterrar a Franco, va a Cuba a rendir pleitesía a la dictadura cubana y a visitar la tumba de Fidel Castro, y allí sí hay presos políticos, y represaliados, y miles de asesinados y desaparecidos, naderías</t>
  </si>
  <si>
    <t>Algún lugar de la enmarañada galaxia hispánica</t>
  </si>
  <si>
    <t>«Lo más difícil de aprender en la vida es qué puente hay que cruzar y qué puente hay que quemar», Bertrand Russell NO MD 🤬</t>
  </si>
  <si>
    <t>pedro sanchez con franco que esta muerto si se mete con los dictadores de cuba y Venezuela los aplaude y los abraza menudo hipócrita claro tiene que buscarse la vida apoyando a los dictadores del mundo para después de las elecciones, elecciones generales ya</t>
  </si>
  <si>
    <t>🔋 RTn #Ecocars</t>
  </si>
  <si>
    <t>#MovilidadEléctrica Pedro Sánchez: España necesita al coche eléctrico para mantener sus niveles de exportación</t>
  </si>
  <si>
    <t>https://ift.tt/2TB8sqw</t>
  </si>
  <si>
    <t>Noticias sobre #CochesElectricos, #Ecología, #Hibridos, #Electricos, #Prius, #TeslaMotors #ModelS, #ModelX, #Model3, #Twizzy #RenaultZOE #LEAF 🔋</t>
  </si>
  <si>
    <t>http://triangol.agency</t>
  </si>
  <si>
    <t>El Salto</t>
  </si>
  <si>
    <t>El país al que viaja Pedro Sánchez dista mucho del que visitaron en 1998 Aznar y el rey Juan Carlos. Una crónica de la vida cotidiana en Cuba, entre las ansias de cambio, las herencias de la Revolución y la adaptación a los nuevos tiempos.</t>
  </si>
  <si>
    <t>https://www.elsaltodiario.com/cuba/cuentos-cubanos-cronica-bloqueo-revolucion</t>
  </si>
  <si>
    <t>Construyendo #UnGranMedio con más de 20 proyectos comunicativos. Estamos en http://elsaltodiario.com y publicamos un mensual con siete ediciones.</t>
  </si>
  <si>
    <t>http://elsaltodiario.com</t>
  </si>
  <si>
    <t>Tiramillas</t>
  </si>
  <si>
    <t>Pedro Sánchez presume de series españolas: "La Casa de Papel', 'El Príncipe' y 'Fariña' nos dan prestigio"</t>
  </si>
  <si>
    <t>https://www.marca.com/tiramillas/cine-tv/2018/11/22/5bf68932ca4741192f8b4585.html</t>
  </si>
  <si>
    <t>https://pbs.twimg.com/media/Dsmq4ymWkAArss-.jpg</t>
  </si>
  <si>
    <t>Web de ocio del diario MARCA con noticias sobre cine, música, tendencias, deportes, tecnología, videojuegos,...</t>
  </si>
  <si>
    <t>http://www.marca.com/tiramillas.html</t>
  </si>
  <si>
    <t>Es la primera vez desde 1986: el jefe del gobierno español Pedro Sánchez llega este jueves a Cuba para una visita oficial de dos días, marcada por la voluntad de reforzar los lazos diplomáticos y económicos con la isla.</t>
  </si>
  <si>
    <t>https://pbs.twimg.com/media/DsnREYWVYAAFuLV.jpg</t>
  </si>
  <si>
    <t>movilidadelectrica</t>
  </si>
  <si>
    <t>https://movilidadelectrica.com/pedro-sanchez-espana-necesita-al-coche-electrico-para-mantener-sus-niveles-de-exportacion/</t>
  </si>
  <si>
    <t>Portal de información sobre el sector del vehículo eléctrico. Nuestro fin es acercar al lector la actualidad, las novedades y los nuevos vehículos eléctricos</t>
  </si>
  <si>
    <t>http://www.movilidadelectrica.com</t>
  </si>
  <si>
    <t>Omnia Veritas</t>
  </si>
  <si>
    <t>Pedro Sánchez responsabiliza a Casado y a Rufián de la crispación política y les exige disculpas públicas  Que cínico es este “presidente” que tenemos, el socio de toda esa chusma golpista. QUE TE LARGUES OKUPA!!!</t>
  </si>
  <si>
    <t>España  🇪🇸</t>
  </si>
  <si>
    <t>Viva la unidad de España! 🇪🇸</t>
  </si>
  <si>
    <t>Si dice Pedro Sánchez que no va a Cuba por postureo es por que precisamente es por lo que va.#FelizJueves</t>
  </si>
  <si>
    <t>Pablo Montesinos</t>
  </si>
  <si>
    <t>Pese a intentar evitarlo, Pedro Sánchez tendrá que dar explicaciones por su polémica tesis en el Senado. El PP también quiere que comparezcan sus profesores. La comisión echará a andar a principios de diciembre</t>
  </si>
  <si>
    <t>Madrid-Málaga</t>
  </si>
  <si>
    <t>Cubro la información del PP en Libertad Digital desde 2008. Colaboro en varias tertulias de radio y TV. Autor del libro sobre Gallardón 'El delfín del PP'</t>
  </si>
  <si>
    <t>http://www.libertaddigital.com/</t>
  </si>
  <si>
    <t>Intransigente 11/06</t>
  </si>
  <si>
    <t>🇪🇸Pedro Sánchez llega a Valladolid y ASI LO RECIBEN👏🏼😜  vía @YouTube</t>
  </si>
  <si>
    <t>https://youtu.be/1XYgnixCpXs</t>
  </si>
  <si>
    <t>Metropolitana de Santiago, Chi</t>
  </si>
  <si>
    <t>Justicia y verdad histórica, volver a nuestros orígenes, honrando a nuestros ancestros, para unirnos y avanzar juntos hacia el futuro. Viva la cultura Hispana❌.</t>
  </si>
  <si>
    <t>ARA</t>
  </si>
  <si>
    <t>Pedro Sánchez solo quiere gobernar...</t>
  </si>
  <si>
    <t>Getafe, España</t>
  </si>
  <si>
    <t>Los amigos son la familia que elegimos y yo tengo la mejor familia del mundo</t>
  </si>
  <si>
    <t>El Chiringuito del Deportivo</t>
  </si>
  <si>
    <t>Bajas importantes la de Pedro Sanchez , porque la de Dubarbier 😂😂👇👇</t>
  </si>
  <si>
    <t>https://pbs.twimg.com/media/DsnRL3iXgAA9y77.jpg</t>
  </si>
  <si>
    <t xml:space="preserve">Abanca Riazor / MEGA </t>
  </si>
  <si>
    <t>Toda la actualidad transparente, sobre el @RCDeportivo y sus cat. inferiores. Información y entretenimiento. Contacto: elchiringuitodeldeportivo@outlook.com</t>
  </si>
  <si>
    <t>http://www.rcdeportivo.es</t>
  </si>
  <si>
    <t>http://dlvr.it/Qrs5rX</t>
  </si>
  <si>
    <t>https://pbs.twimg.com/media/DsnRJvIVYAAQNRj.jpg</t>
  </si>
  <si>
    <t>Reyes subraya el prestigio que la primera estrella Michelín obtenida por Pedro Sánchez otorga a la gastronomía de Jaén</t>
  </si>
  <si>
    <t>http://www.infojaen.com/reyes-subraya-el-prestigio-que-la-primera-estrella-michelin-obtenida-por-pedro-sanchez-otorga-a-la-gastronomia-de-jaen/</t>
  </si>
  <si>
    <t>https://pbs.twimg.com/media/DsnRH3BUwAEOS_S.jpg</t>
  </si>
  <si>
    <t>La organización Amnistía Internacional @amnesty le ha enviado una carta al presidente español Pedro Sánchez quién llega hoy a Cuba, pidiéndole abogar por la liberación de #EduardoCardet y el respeto a los #DerechosHumanos y las libertades en #Cuba</t>
  </si>
  <si>
    <t>https://pbs.twimg.com/media/DsnRFscW0AE5qZ3.jpg</t>
  </si>
  <si>
    <t>pedro sanchez se va a cuba a ver a las cubanas y al dictador sin ver a los disidentes que lo pasan mal igual que hace zapatero en Venezuela el se prepara para cuando lo echemos irse a cuba a llevárselo muerto apoyando al dictador que esos si son dictadores y no dice nada</t>
  </si>
  <si>
    <t>Muy sencillo,a cambio de que Pedro Sánchez aguante unos meses más en el gobierno,yo,si fuera militante del PSOE estaría muy preocupada x saber qué va a pasar con el partido,porque creo que va a quedar muy tocado RT @crpandemonium: No hay palabras para describir a este PSOE. Algun día habrá que preguntarles por qué aceptaron humillarse de esta manera. A cambio de qué. Qué piensan cuando se miran al espejo.</t>
  </si>
  <si>
    <t>https://twitter.com/crpandemonium/status/1065204632924954624
https://twitter.com/europapress/status/1065197352049356801</t>
  </si>
  <si>
    <t>https://okdiario.com/espana/2018/11/22/salvador-he-recibido-whatsapp-diputados-socialistas-apoyandome-3379012?utm_campaign=ok&amp;utm_medium=Social&amp;utm_source=Facebook#Echobox=1542885020</t>
  </si>
  <si>
    <t>EN UTRERA, MI CIUDAD</t>
  </si>
  <si>
    <t>GASTOS ABSURDOS. Pedro Sánchez mandó su coche oficial vacío a Valladolid para hacer los 8 kms del aeropuerto a la ciudad</t>
  </si>
  <si>
    <t>https://okdiario.com/espana/2018/11/21/sanchez-mando-coche-oficial-vacio-valladolid-hacer-8-kms-del-aeropuerto-ciudad-3377374#.W_a8gOGJJcU.twitter</t>
  </si>
  <si>
    <t>Utrera, España</t>
  </si>
  <si>
    <t>Una visión personal del mundo que nos rodea. Seleccionamos noticias, opinamos, promocionamos,presentamos actividades,becas,curiosidades, ofertas de trabajo...</t>
  </si>
  <si>
    <t>ElConservadorDigital</t>
  </si>
  <si>
    <t>Pedro Sánchez aterriza en Valladolid tras optar por un gran despliegue de medios de transporte en un trayecto que se puede hacer en coche en 2 horas, o en AVE, en unos 50 minutos. Como se lo pagamos todos...</t>
  </si>
  <si>
    <t>https://www.facebook.com/elconservadordigital/videos/191983638375980/</t>
  </si>
  <si>
    <t>Porque nos sentimos orgullosos de ser de derechas y decir las cosas claras. http://elconservadordigital.wordpress.com</t>
  </si>
  <si>
    <t>http://elconservadordigital.wordpress.com</t>
  </si>
  <si>
    <t>Luis Serrano B. 🇪🇸</t>
  </si>
  <si>
    <t>Portugal deja por mentiroso a Pedro Sánchez y su Mundial 'inventado'</t>
  </si>
  <si>
    <t>https://okdiario.com/deportes/futbol/2018/11/20/portugal-deja-mentiroso-pedro-sanchez-mundial-inventado-3372638#.W_a8E6SaiVl.twitter</t>
  </si>
  <si>
    <t>Si quieres que las cosas cambien, empieza por cambiarte a ti mismo. Innovación/Marketing/Comunicación</t>
  </si>
  <si>
    <t>https://www.linkedin.com/in/luisserranobarrie/</t>
  </si>
  <si>
    <t>Periódico26</t>
  </si>
  <si>
    <t>El presidente del Gobierno, Pedro Sánchez, viajará hoy a #Cuba en la primera visita oficial que realiza al país caribeño un gobernante de #España en más de tres décadas. 🔗➡️ 👥@istvanojeda @chamberohoy @JoseCarlosRguez @PartidoPCC @TribunaHabana @Maril56</t>
  </si>
  <si>
    <t>http://www.periodico26.cu/index.php/es/de-cuba-es/item/13066-presidente-de-gobierno-espanol-viaja-en-visita-oficial-a-cuba</t>
  </si>
  <si>
    <t>Las Tunas, CUBA</t>
  </si>
  <si>
    <t>Órgano Informativo de la provincia de Las Tunas, Cuba. Fundado el 26 de julio de 1978</t>
  </si>
  <si>
    <t>http://www.periodico26.cu/</t>
  </si>
  <si>
    <t>Pedro Sanchez arremete contra Franco por dictador pero va a Cuba a rendir pleitesia al dictador Raul Castro! digno alumno de Zapatero! RT @jsobrevive: #PedroSánchezDimisión #QueremosEleccionesYA #NoQueremosUnPresidenteGolpistaTraidorYMentiroso Pedro Sánchez definitivamente hace efectiva su traición a España y paga su deuda con los golpistas  vía @ElDiestro_</t>
  </si>
  <si>
    <t>https://twitter.com/jsobrevive/status/1058263373840711680
https://www.eldiestro.es/2018/11/pedro-sanchez-definitivamente-hace-efectiva-su-traicion-a-espana-y-paga-su-deuda-con-los-golpistas/</t>
  </si>
  <si>
    <t>“Este es el decimoctavo Real Decreto de este año, quince de la era Pedro Sánchez frente a los tres que aprobó el Ejecutivo del @PPopular hasta junio” @BarrachinaM en el #Pleno</t>
  </si>
  <si>
    <t>pic.twitter.com/BNLTr2VZbJ</t>
  </si>
  <si>
    <t>javiersobrevive #ED👍🇪🇸</t>
  </si>
  <si>
    <t>Alfonso Ussía realiza un certero estudio psiquiátrico de la vanidosa personalidad de Pedro Sánchez  vía @ElDiestro_</t>
  </si>
  <si>
    <t>Superviviente, no espero nada, lo busco. Me encanta la música, se admiten sugerencias. Editor de http://eldiestro.es</t>
  </si>
  <si>
    <t>http://javiersobrevive.blogspot.com.es/</t>
  </si>
  <si>
    <t>Pablo Sánchez Jim.</t>
  </si>
  <si>
    <t>La presidenta inglesa en Bruselas defendiendo el brexit y a Gibraltar... y Pedro Sánchez PSOE en Cuba!! Quien defiende los intereses de los españoles que están en Inglaterra y en Gibraltar? No es extraño... si no...</t>
  </si>
  <si>
    <t>https://www.facebook.com/1299968942/posts/10213743649167698/</t>
  </si>
  <si>
    <t>Telde. Gran Canaria.</t>
  </si>
  <si>
    <t>CANARIO como el gofio y ESPAÑOL de pura cepa, DUE y con el BALONCESTO como PASION, un entrenador siempre en FORMACIÓN, ahí estamos...</t>
  </si>
  <si>
    <t>Pedro Sánchez reivindica a Rajoy frente a Pablo Casado tras el fiasco del CGPJ: "A su lado él era un moderado"  via @elmundoes</t>
  </si>
  <si>
    <t>https://www.elmundo.es/espana/2018/11/21/5bf52116268e3e98538b45df.html</t>
  </si>
  <si>
    <t>Niño rata y maricón</t>
  </si>
  <si>
    <t>¿Alguna vez conociste a una celebridad? — Pedro Sánchez</t>
  </si>
  <si>
    <t>https://curiouscat.me/Pablo_Petrov/post/713830207?t=1542896261</t>
  </si>
  <si>
    <t>El paraíso de los niños rata</t>
  </si>
  <si>
    <t>Hola soy Pablo Petrov. Soy ex-tdj. Doy toda la pena y soy gay. Tengo 17 años. YT: http://bit.ly/2ost6ve Email trabajo: guachisimo@gmail.com</t>
  </si>
  <si>
    <t>https://curiouscat.me/Pablo_Petrov</t>
  </si>
  <si>
    <t>ColaKaøsWr.</t>
  </si>
  <si>
    <t>Mi madre: Hijo, a quién estás escuchando? Yo: A David Broncano, mamá Mi madre: Uy, creía que era Pedro Sánchez #LaResistencia</t>
  </si>
  <si>
    <t>~ WRESTLING IS ART ~ Un intento más de dar importancia al wrestling. Quédate si buscas la opinión de un aficionado como tú.</t>
  </si>
  <si>
    <t>http://solowrestling.com</t>
  </si>
  <si>
    <t xml:space="preserve">Pedro Brabant. </t>
  </si>
  <si>
    <t>Será que Pedro Sánchez vía a Cuba a apuntalar $ El comunismo en la isla ?</t>
  </si>
  <si>
    <t>Paco Núñez</t>
  </si>
  <si>
    <t>Estoy preocupado por Castilla-La Mancha, por la Educación y por la Sanidad y por las consecuencias que puedan tener para la región y para España los pactos entre Page y Pedro Sánchez con Podemos. Así se lo he hecho saber hoy a Emiliano García Page.</t>
  </si>
  <si>
    <t>https://pbs.twimg.com/media/DsnOkc3W0AE4a1m.jpg</t>
  </si>
  <si>
    <t>Almansa. Albacete. España</t>
  </si>
  <si>
    <t>🇪🇸 Presidente @PP_CLM y Comité Ejecutivo Nacional del PP. Diputado Autonómico. 🎓 Politólogo. 👫Felizmente casado y orgulloso padre</t>
  </si>
  <si>
    <t>http://www.xn--paconuez-i3a.es/</t>
  </si>
  <si>
    <t>wysyq</t>
  </si>
  <si>
    <t>Pedro Sánchez: "Borrell está percibiendo ya el esputo... perdón, quiero decir, el fruto, de ese DIÁLOGO al que se negaron las derechas". @MiquelIceta, @EsquerraFederal @PSOE @socialistes_cat #BroncaCongresoARV</t>
  </si>
  <si>
    <t>https://pbs.twimg.com/media/DsnOT2ZWkAEW3ap.jpg</t>
  </si>
  <si>
    <t>**** CONTRA LA RAZÓN BUENISTA ****</t>
  </si>
  <si>
    <t>http://www.c3c.es/index.htm</t>
  </si>
  <si>
    <t>Anamaría Oxford</t>
  </si>
  <si>
    <t>Hoy en @RTVE Hablaron de la visita de Pedro Sánchez a Cuba. Periodistas y opinadores dijeron que sólo lo Obama y el Papa se han reunido con opositores cubanos, como Sanchez no es tan importante, como ellos dos, pues no hay reunión.</t>
  </si>
  <si>
    <t>Comunicadora Social. Directora de AGO Comunicaciones. Disfrutando hasta los malos momento porque al rato son parte del pasado</t>
  </si>
  <si>
    <t>Varios miembros de PP y Ciudadanos han sido ingresados con ataques de ansiedad tras varias horas sin poder decir a Pedro Sánchez "VETE A CUBA".</t>
  </si>
  <si>
    <t>Pedro Sánchez vio la peli "el lobo de wall street" y la ha copiado literalmente. Ha pillado el puesto negociando por los despachos y ahora se pega la gran vida sin bajarse del avión. RT @okdiario: Sánchez mandó su coche oficial vacío a Valladolid para hacer los 8 kms del aeropuerto a la ciudad</t>
  </si>
  <si>
    <t>Javi Sánchez Glez.</t>
  </si>
  <si>
    <t>En 200 días de gobierno Pedro Sanchez ha hecho 16 viajes y 60.000 kilómetros. Ha dado ya una vuelta y media a la Tierra.</t>
  </si>
  <si>
    <t>https://www.antena3.com/noticias/espana/pedro-sanchez-presidente-viajero-da-vuelta-media-tierra-video_201811185bf19faa0cf2265d30050e8b.html</t>
  </si>
  <si>
    <t>Madrileño por el mundo</t>
  </si>
  <si>
    <t>Consultor político. Mezclo publicidad, comunicación y política. Siempre con barba</t>
  </si>
  <si>
    <t>https://www.instagram.com/javisanchezglez</t>
  </si>
  <si>
    <t>"Pedro Sánchez no verá a la oposición cubana para no desairar al castrismo en su viaje a la isla"</t>
  </si>
  <si>
    <t>Juan Román</t>
  </si>
  <si>
    <t>Pedro Sánchez está ahora mismo volando. Da igual cuando leas esto.</t>
  </si>
  <si>
    <t>Palma, Islas Baleares</t>
  </si>
  <si>
    <t>Gonzalo Palacios</t>
  </si>
  <si>
    <t>No esperes nada políticamente inteligente del Presidente del Gobierno y no te defraudará. Tampoco lo esperes de Pedro Sánchez.... por si se desdobla!! RT @COPE: #AUDIO "¿Y del que escupe a un ministro de tu gobierno eres incapaz de decir nada porque son socios tuyos?". Escucha la rotunda respuesta de @HerreraenCOPE a Sánchez por no apoyar a Borrell ante Rufián.</t>
  </si>
  <si>
    <t>https://twitter.com/cope/status/1065556000692948993
http://ww.cope.es/tzr1n2</t>
  </si>
  <si>
    <t>Nacido en Cariñena (Zaragoza), residente en Madrid/Zaragoza, andador por el mundo. Abogado. Socio y Director en Peoplecall.</t>
  </si>
  <si>
    <t>Pedro Sánchez no verá a la oposición cubana para no desairar al castrismo Rinde pleitesía a un régimen de asesinos, dictadores y enemigos de la libertad ¡Muy valiente con los dictadores muertos y muy cobarde con los vivos!</t>
  </si>
  <si>
    <t>El presidente del Gobierno Pedro Sánchez no tiene previsto reunirse con la disidencia en su visita en Cuba | Lo cuenta María Rodríguez</t>
  </si>
  <si>
    <t>https://pbs.twimg.com/media/DsnNm7VUcAEUisw.jpg</t>
  </si>
  <si>
    <t>chica de la curva</t>
  </si>
  <si>
    <t>mi chiste favorito es pablo casado y albert rivera metiéndose con pedro sánchez por ir a cuba mientras ellos son unos fachas de mierda</t>
  </si>
  <si>
    <t>Sevilla🌈 San</t>
  </si>
  <si>
    <t>saliendo de la estupefacción</t>
  </si>
  <si>
    <t>http://instagram.com/_chicadelacurva</t>
  </si>
  <si>
    <t>📲 Juan Carlos Romero</t>
  </si>
  <si>
    <t>Genial iniciativa la de insertar en @telediario_tve temas que dan contexto y ofrecen claves, como hacen hoy con '¿Qué Cuba le espera a Pedro Sánchez?'</t>
  </si>
  <si>
    <t>Castilblanco de los Arroyos</t>
  </si>
  <si>
    <t>PERIODISTA Andaluz. Viajo por lugares, personas y tiempos. Aprendí en @elcorreoweb @cextremadura y @abcdesevilla ¡Cuenta conmigo! 👉 juanca_sev@hotmail.com</t>
  </si>
  <si>
    <t>http://www.juancarlosromero.wordpress.com</t>
  </si>
  <si>
    <t>La llegada del invierno lleva al nuevo viaje de Pedro Sánchez: Cuba. El Caribe, todo a costa del dinero de los españoles sin los votos necesarios.</t>
  </si>
  <si>
    <t>Pedro Sánchez no tiene previsto reunirse con Raúl Castro  #actualidad #destacada #españa</t>
  </si>
  <si>
    <t>https://goo.gl/fb/SkDjfq</t>
  </si>
  <si>
    <t>Antonio Alcántara</t>
  </si>
  <si>
    <t>... A propósito del “acuerdo” al que dice Pedro Sanchez ha llegado con Theresa May acerca de Gibraltar, reproduzco la conversación entre unos pescadores algecireños y la guardia costera gibraltareña hace ya un tiempo...</t>
  </si>
  <si>
    <t>https://pbs.twimg.com/media/DsnNDvdWoAYtNEM.jpg</t>
  </si>
  <si>
    <t>Abuelo de 5 nietas y 2 nietos. Jubilado. Orgulloso de ser de Jerez de la Frontera, del Ramiro y del Estu. El de la tele, un impostor.</t>
  </si>
  <si>
    <t>Rosario Moreno C.</t>
  </si>
  <si>
    <t>El presidente español Pedro Sánchez no verá a la oposición cubana para no desairar al castrismo en su viaje a la isla. Lindo el socialismo! No hay peor ciego que el que no quiere ver.</t>
  </si>
  <si>
    <t>En librerías con #HuellasImborrables , el Sename como jamás te lo contaron...</t>
  </si>
  <si>
    <t>Mario Pantoja</t>
  </si>
  <si>
    <t>Agenda de Pedro Sánchez para hoy: -Convocar elecciones tal y como prometió ❌ -Buscar soluciones para los problemas de los españoles ❌ -Devolver favores a sus socios independentistas que le hicieron presidente ✔️ #EleccionesYa #GobiernoDeLaDignidad</t>
  </si>
  <si>
    <t>https://www.abc.es/espana/abci-gobierno-destituye-abogado-estado-proponia-acusar-rebelion-lideres-proces-201811211822_noticia.html</t>
  </si>
  <si>
    <t>Colmenar Viejo, España</t>
  </si>
  <si>
    <t>Estudiante de ADE. NNGG del Partido Popular de Madrid. Comunicación. Europeísta. Liberal 🇪🇸</t>
  </si>
  <si>
    <t>Theresa May mantuvo anoche una conversación con el presidente del Gobierno Pedro Sánchez y ha dicho confía en que el acuerdo sea beneficioso para toda "la familia del Reino Unido, incluido Gibraltar" | Informa @maidigoras</t>
  </si>
  <si>
    <t>https://pbs.twimg.com/media/DsnMwLRVAAExjrK.jpg</t>
  </si>
  <si>
    <t>Diεgo dε Schouwεr</t>
  </si>
  <si>
    <t>Pedro Sánchez no es tan malo si lo comparas con Carmen Calvo. RT @Proserpinasb: Esto de Carmen Calvo de ayer en el Congreso es de Cum Laude en totalitarismo: “la Constitución establece que todos los órganos constitucionales del Estado y todos los poderes del Estado salgan de aquí, que aquí (el Congreso) es donde estamos todos los españoles”</t>
  </si>
  <si>
    <t>https://twitter.com/Proserpinasb/status/1065514871331139589</t>
  </si>
  <si>
    <t>Macondo</t>
  </si>
  <si>
    <t>Come what may.</t>
  </si>
  <si>
    <t>Dae</t>
  </si>
  <si>
    <t>Pedro Sánchez a Cuba para fortalecer las relaciones y negocios con el país, la oposición no dice ni mu. Cada día vivo en un país más izquierdista que nunca.</t>
  </si>
  <si>
    <t>Antes solía ser creativa, ahora no sé que poner aquí. | primero café » luego existo.</t>
  </si>
  <si>
    <t>🥴🥴🤪🤪🤪Pedro Sánchez confirma que él y el presidente del Gobierno son la misma persona</t>
  </si>
  <si>
    <t>https://tv.libertaddigital.com/videos/2018-11-19/pedro-sanchez-confirma-que-el-y-el-presidente-del-gobierno-son-la-misma-persona-6067116.html?fbclid=IwAR1vsPaV6UZ_IAQAeJnmtZYRfM8nvUCAvnlB0upsS2VOWeaHytX8twOWtVY</t>
  </si>
  <si>
    <t>Madridiario.es</t>
  </si>
  <si>
    <t>#Transportes Pedro Sánchez da luz verde al desbloqueo de la variante de la A-1. No corre la misma suerte el carril BUS-VAO de la A-2, que se ha quedado en el cajón.</t>
  </si>
  <si>
    <t>https://www.madridiario.es/462430/variante-a1-2023-bus-vao-a2</t>
  </si>
  <si>
    <t>Primer diario digital de la Comunidad de Madrid.</t>
  </si>
  <si>
    <t>http://www.madridiario.es</t>
  </si>
  <si>
    <t>Rojillo-andalú 🎗#15MLibertad</t>
  </si>
  <si>
    <t>Borrell, un ministro de ultraderecha fichado por Pedro Sánchez, quien a su vez fue puesto en Moncloa por @pablo_iglesias_. Y los podemitas lo siguen aplaudiendo. No se enteran de que Pablo es un topo del sistema que ya es casta.</t>
  </si>
  <si>
    <t>pic.twitter.com/dV9xJw28g8</t>
  </si>
  <si>
    <t>País Andaluz</t>
  </si>
  <si>
    <t>Decepcionado con lo que veo :-(</t>
  </si>
  <si>
    <t>Elias Amor</t>
  </si>
  <si>
    <t>Resido en Valencia (España)</t>
  </si>
  <si>
    <t>Economista. Autor del blog http://cuba-economia.blogspot.com y del libro Economia cubana. La oportunidad perdida. Mi deseo, que Cuba sea libre y democratica</t>
  </si>
  <si>
    <t>Jag.Valdezate</t>
  </si>
  <si>
    <t>Que mantenga los salrios de "esclavos" Que mantenga los privilegios de la dictadura Que no exija elecciones, ni derechos humanos Que si pegan a las "damas de blanco" que se j. estas.</t>
  </si>
  <si>
    <t>Abro el tuiter y brindo por el viejo sueño: на здоро́вье! Cheers! Salut! Prost! ¡Por el viejo sueño! To the Old Dream! Toast den alten Traum! Тост давняя мечта!</t>
  </si>
  <si>
    <t>http://jagvaldezate.blogspot.com.es/</t>
  </si>
  <si>
    <t>Pues entre los 500.000€ para reamueblar la Moncloa Los 923.000€ en calefacción Y los +de 55.0000€ que se ha dejado en el Falcon Pedro Sánchez es el presidente que se ha pulido mas dinero en menos tiempo. Luego digan q no es un oportunista</t>
  </si>
  <si>
    <t>Agencia ATLAS Castilla y León</t>
  </si>
  <si>
    <t>"Tenemos una agenda de cambio muy importante que implementar antes de que lleguen esas elecciones", Pedro Sánchez en la #XXXCumbreHispanoLusa</t>
  </si>
  <si>
    <t>http://www.atlas-news.com/agencia-internet/politica/Sanchez-Cuba-viaje_oficial-agenda-brexit_3_1510078978.html</t>
  </si>
  <si>
    <t>https://pbs.twimg.com/media/DsnJz9iXgAENhnm.jpg</t>
  </si>
  <si>
    <t>Castilla y León, España</t>
  </si>
  <si>
    <t>Delegación de Informativos Telecinco, Noticias Cuatro y Agencia ATLAS en Castilla y León</t>
  </si>
  <si>
    <t>http://www.atlas-news.com/</t>
  </si>
  <si>
    <t>Periódico El Día</t>
  </si>
  <si>
    <t>Pedro Sánchez visita a Cuba por dos días  #PeriódicoElDía</t>
  </si>
  <si>
    <t>https://goo.gl/so9nLU</t>
  </si>
  <si>
    <t>https://pbs.twimg.com/media/DsnJsSVWwAEd1s-.jpg</t>
  </si>
  <si>
    <t>Santo Domingo, Rep. Dom.</t>
  </si>
  <si>
    <t>Periódico independiente.</t>
  </si>
  <si>
    <t>http://www.eldia.com.do/</t>
  </si>
  <si>
    <t>Esteban Fdez.</t>
  </si>
  <si>
    <t>https://okdiario.com/espana/2018/11/21/sanchez-mando-coche-oficial-vacio-valladolid-hacer-8-kms-del-aeropuerto-ciudad-3377374#.W_a1MtC1umA.twitter</t>
  </si>
  <si>
    <t>Riojano de nacimiento, gallego de adopción. I.T.A.</t>
  </si>
  <si>
    <t>Natacrespo@40</t>
  </si>
  <si>
    <t>En @elconfidencial: Sánchez no prevé verse con la disidencia cubana, sí con figuras de la sociedad civil</t>
  </si>
  <si>
    <t>https://www.elconfidencial.com/espana/2018-11-21/pedro-sanchez-viaje-cuba-empresarios-sociedad-cubana-disidencia_1658610/?utm_source=twitter&amp;utm_medium=social&amp;utm_campaign=BotoneraWeb</t>
  </si>
  <si>
    <t>https://www.facebook.com/pages/Fans-de-Nata-Crespo/175113679168414?ref=stream</t>
  </si>
  <si>
    <t>Enrique Gómez Galán</t>
  </si>
  <si>
    <t>El pueblo paga. (Pendejos)</t>
  </si>
  <si>
    <t>Mx</t>
  </si>
  <si>
    <t>Carlos Asegurado</t>
  </si>
  <si>
    <t>https://okdiario.com/espana/2018/11/21/sanchez-mando-coche-oficial-vacio-valladolid-hacer-8-kms-del-aeropuerto-ciudad-3377374#.W_a0GX_vaLY.twitter</t>
  </si>
  <si>
    <t>Bembibre, España</t>
  </si>
  <si>
    <t>- Afiliado PP - Vicesecretario de Estudios y Programas @PPBierzo</t>
  </si>
  <si>
    <t>Theresa May, confiada en el acuerdo sobre el Brexit tras hablar con Pedro Sánchez</t>
  </si>
  <si>
    <t>https://trib.al/omsZUvv</t>
  </si>
  <si>
    <t>Pedro Sánchez no haría algo así, pero el no es Pedro Sánchez, el es el presidente del gobierno. Consecuentemente no está vinculado por lo que pensara o dijera Pedro Sánchez antes de ser presidente. Es de cajón. RT @numer344: ZPedro hace los 188km de Madrid a Valladolid en el Falcon y ordena q su coche oficial se desplace vacío d Madrid a Valladolid para recogerlo en el aeropuerto y hacer los 8km q le separan dl centro d Valladolid. Ni cambio climático, ni vehículos de combustión....sus santos cojones</t>
  </si>
  <si>
    <t>Non scholae, sed vitae discimus.</t>
  </si>
  <si>
    <t>Vanguardia de Cuba</t>
  </si>
  <si>
    <t>#Cuba:Sobre la silla de montar de Antonio Maceo que trae el presidente Pedro Sánchez,dijo Eusebio Leal,historiador #LaHabana:"Lo que España trae es una parte de ella,y lo que nosotros recibimos es una parte nuestra, somos un solo corazón y un alma sola" @DiazCanelB @anamarianpp</t>
  </si>
  <si>
    <t>https://pbs.twimg.com/media/DsnIAf5U4AEINRp.jpg</t>
  </si>
  <si>
    <t>Un órgano de la Revolución, en la provincia cubana de Villa Clara</t>
  </si>
  <si>
    <t>http://www.vanguardia.cu</t>
  </si>
  <si>
    <t>puritita</t>
  </si>
  <si>
    <t>Un Repelente</t>
  </si>
  <si>
    <t>Theresa May, tras hablar con Pedro Sánchez: "Lograremos un acuerdo para toda la familia de Reino Unido, incluida Gibraltar"</t>
  </si>
  <si>
    <t>http://bit.ly/2DTnhQG</t>
  </si>
  <si>
    <t>Pereira, Colombia</t>
  </si>
  <si>
    <t>Un tipo muy repelente y fastidioso</t>
  </si>
  <si>
    <t>RTn #Mundo</t>
  </si>
  <si>
    <t>#Internacional Theresa May, tras hablar con Pedro Sánchez: "Lograremos un acuerdo para toda la familia de Reino Unido, incluida Gibraltar"</t>
  </si>
  <si>
    <t>https://ift.tt/2DDghGw</t>
  </si>
  <si>
    <t>Noticias del #Mundo, #Internacional, #NoticiasDelMundo, #PanoramaMundial</t>
  </si>
  <si>
    <t>Fernando dan</t>
  </si>
  <si>
    <t>Los socios de Pedro Sánchez degradan la democracia en el Congreso de los Diputados. Por Eugenio Narbaiza - La Paseata</t>
  </si>
  <si>
    <t>Pedro Sánchez inicia una visita a Cuba sin citas con la disidencia #ElPSOEDaSeguridad #Razonesparaconfiar  vía @elpais_espana</t>
  </si>
  <si>
    <t>http://ow.ly/u2CB101mIjK</t>
  </si>
  <si>
    <t>https://pbs.twimg.com/media/DsnHH-4XoAEUQmr.jpg</t>
  </si>
  <si>
    <t>Adriana Matos</t>
  </si>
  <si>
    <t>Theresa May, tras hablar con Pedro Sánchez: "Lograremos un acuerdo para toda la familia de Reino Unido, incluida Gibraltar" Leer</t>
  </si>
  <si>
    <t>Colima</t>
  </si>
  <si>
    <t>Iñaki Guerrero</t>
  </si>
  <si>
    <t>Como en #Algete, que también gobierna Pedro sanchez RT @ppsanse: 🚘Nuestros vecinos sufren atascos insufribles y cada día van a más porque ✔️Pedro Sánchez ha dejado en el aire las grandes soluciones del @PPopular para la A1 ✔️Carmena toma pésimas decisiones como #MadridCentral 🔊Desde @ppmadrid exigimos medidas serias para solucionarlo🚗🚗🚗🚗</t>
  </si>
  <si>
    <t>https://twitter.com/ppsanse/status/1065195042447474688</t>
  </si>
  <si>
    <t>https://pbs.twimg.com/media/DshVN7TXoAAypeH.jpg</t>
  </si>
  <si>
    <t>OJO, es mi cuenta personal, libre de aditivos, conservantes y sin colorantes ni edulcorantes</t>
  </si>
  <si>
    <t>http://abcblogs.abc.es/angel-exposito/public/post/la-chuleria-de-rufian-es-la-hipoteca-de-pedro-sanchez-17471.asp/#.W_ayM65FTDA.twitter</t>
  </si>
  <si>
    <t>🎄 Manuel Conlyt 🎄</t>
  </si>
  <si>
    <t>Me ha gustado un vídeo de @YouTube ( - Todo lo bueno llega a su fin | Pedro Sánchez simulador 2016 | final).</t>
  </si>
  <si>
    <t>http://youtu.be/sKzkfA76whw?a</t>
  </si>
  <si>
    <t>Valle de Metrêk</t>
  </si>
  <si>
    <t>Escritor, filósofo, poeta, Youtuber de éxito xd, guionista. No tengo razón en todo, y en ésto tengo razón siempre.</t>
  </si>
  <si>
    <t>https://www.youtube.com/c/ManuelConlyt</t>
  </si>
  <si>
    <t>Israel Cortés</t>
  </si>
  <si>
    <t>Isla Mujeres, Quintana Roo</t>
  </si>
  <si>
    <t>Es más sabio averiguar que suponer.</t>
  </si>
  <si>
    <t>Alfredo Carrasquillo</t>
  </si>
  <si>
    <t>Cadena Agramonte</t>
  </si>
  <si>
    <t>Este jueves llega a #Cuba en visita oficial el presidente de #España, excelentísimo señor Pedro Sánchez Pérez-Castejón  @CubaMINREX @MaraRegla @radio_cubana</t>
  </si>
  <si>
    <t>http://www.cadenagramonte.cu/articulos/ver/83751:presidente-de-espana-llega-hoy-a-cuba</t>
  </si>
  <si>
    <t>Radio Cadena Agramonte #emisora de #noticias desde #Camagüey, #Cuba - @cadenagramonte -</t>
  </si>
  <si>
    <t>http://www.cadenagramonte.cu</t>
  </si>
  <si>
    <t>Cristina Castelo</t>
  </si>
  <si>
    <t>alfredo</t>
  </si>
  <si>
    <t>No que no? Sres Españoles prepárense, ni el papa visito a los presos políticos ni a los opositores en Cuba Olvídense de salir de Pedro Sánchez. RT @cayetanaAT: Tan durito con los dictadores muertos y tan blandito con los dictadores vivos.  via @elmundoes</t>
  </si>
  <si>
    <t>Lo único bueno de esta crisis es que o aprendemos a ser venezolanos o nos fregamos TODOS</t>
  </si>
  <si>
    <t>El presidente español Pedro Sánchez trae a #Cuba una reliquia histórica: la silla de montar de Antonio Maceo,tallada en una palma real con una estrella solitaria grabada en su respaldo. @DiazCanelB @anamarianpp @AndresDiputado @GimeranezEm @CubaMINREX</t>
  </si>
  <si>
    <t>https://pbs.twimg.com/media/DsnGPplVsAA186x.jpg</t>
  </si>
  <si>
    <t>René Moreno</t>
  </si>
  <si>
    <t>Oyd Opinión y debate 🇪🇸</t>
  </si>
  <si>
    <t>A Pedro Sánchez a falta de ideas, no saca a pasear a Franco, El Valle de los Caídos. Pero sin embargo rinde honores en el Mausoleo del Monarca Abolutista marroquí y no ve problema alguno en la dictadura de Cuba. Sin principios ni escrúpulos.</t>
  </si>
  <si>
    <t>Pasión por el debate político, por la importancia que tiene la política en nuestra vida cotidiana.</t>
  </si>
  <si>
    <t>http://www.opinionydebate.es</t>
  </si>
  <si>
    <t>FRANJO</t>
  </si>
  <si>
    <t>LUCHAR POR UN SALARIO MÍNIMO DECENTE ES UNA LABOR QUE TENDRÍAN QUE AFRONTAR LOS SINDICATOS QUE SE QUEDAN SIN INCAUTOS Y QUE POR LAS PRESIONES AL GOBIERNO LO INTENTA AHORA PEDRO SÁNCHEZ</t>
  </si>
  <si>
    <t>Ciudadano del mundo, 45 años explotado y totalmente indignado. Estoy muy enfadado ¬¬</t>
  </si>
  <si>
    <t>http://democraciarealxa.blogspot.com.es/2011/06/la-joven-democracia-sin-voz-cuento.html</t>
  </si>
  <si>
    <t>Henry Cerdá</t>
  </si>
  <si>
    <t>https://okdiario.com/opinion/2018/09/15/mentiroso-chulo-jeta-plagiario-mediocre-censor-3117399#.W_axQJAH7Lx.twitter</t>
  </si>
  <si>
    <t>PENSIONISTA, NO DE IZQUIERDAS, SIGO A QUIEN ME SIGUE. Sé breve en tus razonamientos, que ninguno hay gustoso si es largo.</t>
  </si>
  <si>
    <t>Perroflautas Dolores</t>
  </si>
  <si>
    <t>Pedro Sanchez I de España hace los 188 km de Madrid a Valladolid en el Falcon y ordena q su coche oficial se desplace vacío d Madrid a Valladolid para recogerlo en el aeropuerto y hacer los 8km q le separan dl...</t>
  </si>
  <si>
    <t>https://www.facebook.com/1455511311374729/posts/2199739426951910/</t>
  </si>
  <si>
    <t>Dolores (Alicante)</t>
  </si>
  <si>
    <t>Todos somos hijos de la flauta.</t>
  </si>
  <si>
    <t>Juan Gimeno</t>
  </si>
  <si>
    <t>Falconetti Pedro Sánchez al ataque !!! RT @royjanes: @EquidistanteZen @Elprimorosoroso 👍 ¡ Os tengo dicho que no me molestéis mientras gobierno !</t>
  </si>
  <si>
    <t>https://twitter.com/royjanes/status/1065589496950022147</t>
  </si>
  <si>
    <t>pic.twitter.com/m1gZ9iK1u1</t>
  </si>
  <si>
    <t>Lerida, Cataluña, España</t>
  </si>
  <si>
    <t>Catalán , y muy orgulloso de ser español 🇪🇸🇪🇸🇪🇸</t>
  </si>
  <si>
    <t>AntonioLglam</t>
  </si>
  <si>
    <t>http://shr.gs/Ym5cOaZ</t>
  </si>
  <si>
    <t>Amante de la autenticidad , me gusta trazar puentes entre la gente, el flamenco , pasear por las ramblas de noche... Catalán aragonés.Técnico de camara de tv .</t>
  </si>
  <si>
    <t>Jou gonzalez</t>
  </si>
  <si>
    <t>#ParaQuéSirveLaMonarquía Pues supongo,que entre otras cosas para que gentuza como gabeiel rufian,pedro sanchez,pablo iglesias y similares no sean nuestro jefe de estado</t>
  </si>
  <si>
    <t>Si no respetas a los animales no me interesas como persona. Políticamente incorrecto,autónomo y autóctono,máster en tuitología.</t>
  </si>
  <si>
    <t>E.A. Moreno-Uribe</t>
  </si>
  <si>
    <t>Caracas,Venezuela</t>
  </si>
  <si>
    <t>Comunicador, escritor y crítico. Autor de 27 libros sobre historiografia del teatro venezolano. Como dramaturgo tiene 6 piezas, dos ya estrenadas.</t>
  </si>
  <si>
    <t>http://elespectadorvenezolano.blogspot.com</t>
  </si>
  <si>
    <t>Que dice un idiota que no puedo calificar la actitud del diputado de ERC si no he condenado antes que Rivera llamase golpista a Pedro Sánchez el otro día. Esto por irme a su TL a ver si él se pasa la vida condenando cosas para poder opinar.</t>
  </si>
  <si>
    <t>Sánchez viaja a Cuba 32 años después del último viaje oficial de un presidente español - MADRID (Sputnik) — El presidente del Gobierno español, Pedro Sánchez, inicia un viaje a Cuba, la primera visita oficial de un jefe del Ej...</t>
  </si>
  <si>
    <t>http://bit.ly/2FBlzVM</t>
  </si>
  <si>
    <t>Nuria Reche Tello</t>
  </si>
  <si>
    <t>Es de agradecer que la ampliación del permiso de paternidad no establezca diferencias entre los trabajadores del sector público y los del sector privado</t>
  </si>
  <si>
    <t>Demetrio Villaurruti</t>
  </si>
  <si>
    <t>Presidente del Gobierno del Reino de España, Pedro Sánchez Pérez-Castejón, inicia hoy visita oficial a #Cuba @radiorebelde.cu</t>
  </si>
  <si>
    <t>El País: Pedro Sánchez no se reunirá con la oposición cubana para no desairar al castrismo -</t>
  </si>
  <si>
    <t>http://www.noticierodigital.com/2018/11/pedro-sanchez-no-vera-la-oposicion-no-desairar-al-castrismo-viaje-cuba/</t>
  </si>
  <si>
    <t>https://pbs.twimg.com/media/DsnEInJVsAAcDpm.jpg</t>
  </si>
  <si>
    <t>Golpealos</t>
  </si>
  <si>
    <t>Atención: #22Nov El presidente no "elegido" de #España el comunista Pedro Sánchez en visita oficial a #Cuba acompañado de un grupo de empresarios españoles que no les importa la violación de DDHH del pueblo cubano | España el país con mas inversiones hoteleras en la isla</t>
  </si>
  <si>
    <t xml:space="preserve">👉Unidos contra el Socialismo </t>
  </si>
  <si>
    <t>Golpeando con todo al socialismo | Un lapiz, un celular y prensa libre son mas poderosos que un fusíl o un ejercito | Capitalismo es progreso y desarrollo</t>
  </si>
  <si>
    <t>http://mesigues.tesigo.com</t>
  </si>
  <si>
    <t>Desde hoy, en visita oficial a #Cuba el presidente del gobierno del Reino de España, Pedro Sánchez Pérez Castejón</t>
  </si>
  <si>
    <t>https://pbs.twimg.com/media/Dsj7lkfV4AEYNR2.jpg</t>
  </si>
  <si>
    <t>Amnistía Internacional pide a Sánchez que hable de derechos humanos en Cuba - MADRID (Sputnik) — La organización Amnistía Internacional pidió al presidente español Pedro Sánchez, con motivo de su viaje a Cuba, que h...</t>
  </si>
  <si>
    <t>http://bit.ly/2FD6Fy8</t>
  </si>
  <si>
    <t>Jorge Carlos Tamayo</t>
  </si>
  <si>
    <t>Bayamo, Cuba.</t>
  </si>
  <si>
    <t>Periodista cubano graduado en la Universidad de Oriente, de Santiago de Cuba, en 1995. Actualmente trabajo en Radio Bayamo, la emisora provincial de Granma.</t>
  </si>
  <si>
    <t>http://jorgebayamo.blogspot.com</t>
  </si>
  <si>
    <t>Fuenlabrada Noticias</t>
  </si>
  <si>
    <t>Pedro Sánchez recibe al presidente madrileño, Ángel Garrido, en la Moncloa  vía @Fn_noticias</t>
  </si>
  <si>
    <t>http://fuenlabradanoticias.com/pedro-sanchez-recibe-al-presidente-madrileno-angel-garrido-en-la-moncloa/</t>
  </si>
  <si>
    <t>Fuenlabrada - Madrid</t>
  </si>
  <si>
    <t>Diario digital de Información con Noticias en tiempo real. La actualidad de Madrid, lo más destacado Nacional. Videos y Multimedia. Madrid Zona Sur</t>
  </si>
  <si>
    <t>http://www.fuenlabradanoticias.com</t>
  </si>
  <si>
    <t>Astrid Portero</t>
  </si>
  <si>
    <t>Estar en Cuba justo cuando Pedro Sánchez decide venir después de más de 30 años sin visitas de presidentes españoles ya es suerte. Lo estoy viviendo todo con la misma expectación Cubana.</t>
  </si>
  <si>
    <t>Helsinki, Finlandia</t>
  </si>
  <si>
    <t>Political analyst • He escrito en @esglobal_org, @elordenmundial, @beerspolitics, @xataka • Artículos ES/EN: astridportero@gmail.com • #brexit #europeanunion</t>
  </si>
  <si>
    <t>http://www.astridportero.com</t>
  </si>
  <si>
    <t>Real Pedro Sánchez. Más claro, agua...</t>
  </si>
  <si>
    <t>Logroño</t>
  </si>
  <si>
    <t>Logroñés, Riojano y Español. Y orgulloso de ello.</t>
  </si>
  <si>
    <t>http://perocomotehaspuesto.blogspot.com.es/</t>
  </si>
  <si>
    <t>LaPastira</t>
  </si>
  <si>
    <t>👏 Hoy felicitamos a Pedro Sánchez y a todo el equipo de @Baga_Jaen , por esa #estrellamichelin, primera en la provincia, que ha engrandecido todo el sector de la gastronomía y la restauración, y por la que damos nuestra más sincera ENHORABUENA 🎖 #GalaMichelin #Gastronomía</t>
  </si>
  <si>
    <t>https://pbs.twimg.com/media/DsmU2dmXgAExcT3.jpg</t>
  </si>
  <si>
    <t>Venta a domicilio en Jaen capital, Industrias San Pedro. Estamos en Carretera de la Guardia S/N, km. 1,5</t>
  </si>
  <si>
    <t>http://www.lapastira.com</t>
  </si>
  <si>
    <t>Bolsamanía</t>
  </si>
  <si>
    <t>Goirigolzarri coincide con Pedro Sánchez: no es el momento de vender #Bankia</t>
  </si>
  <si>
    <t>https://bit.ly/2PPh7HP</t>
  </si>
  <si>
    <t>Toda la #ÚltimaHora para el inversor informado. La web de la #Bolsa, la economía y los #mercados.</t>
  </si>
  <si>
    <t>http://www.bolsamania.com</t>
  </si>
  <si>
    <t>nnggcalahorra</t>
  </si>
  <si>
    <t>Juan Ignacio Zoido 👉 La destitución del Abogado del Estado es otro triste episodio de la historia de vergonzosos guiños de Pedro Sánchez a los independentistas. Necesitamos un Gobierno que defienda los intereses de los españoles y no sólo los del PSOE.</t>
  </si>
  <si>
    <t>https://www.facebook.com/nuevasgeneraciones.calahorra/posts/921378311366252</t>
  </si>
  <si>
    <t>Calahorra</t>
  </si>
  <si>
    <t>Nuevas Generaciones Calahorra es una organización juvenil de carácter político cuyo objetivo es elaborar propuestas para mejorar las condiciones de los jóvenes.</t>
  </si>
  <si>
    <t>http://www.nngglarioja.es</t>
  </si>
  <si>
    <t>Miguel Barrachina</t>
  </si>
  <si>
    <t>Pedro Sánchez en la oposición decía que no se podía gobernar a golpe de 'decretazo' y que abusar del uso de los decretos leyes para gobernar suponía "menospreciar" al Parlamento. 👉🏻 En 2018 Rajoy aprobó 3 hasta junio y Sánchez lleva 15 y anuncia seguir a golpe de decreto.</t>
  </si>
  <si>
    <t>pic.twitter.com/N9JJYHo5er</t>
  </si>
  <si>
    <t>Segorbe, España</t>
  </si>
  <si>
    <t>Presidente @popularescs. Diputado Nacional por Castellón. Liberal, economista, corredor y agricultor. Portavoz de Fomento @gppopular</t>
  </si>
  <si>
    <t>https://www.instagram.com/miguel_barrachina_ros/?hl=es</t>
  </si>
  <si>
    <t>kantinu</t>
  </si>
  <si>
    <t>Tema escupitajo invent. PP y C’s exigiendo a Pedro Sánchez que mienta por España. Sin noticia en el frente.</t>
  </si>
  <si>
    <t>#Xumet11anys</t>
  </si>
  <si>
    <t>Tertuliano en escabeche · Si caes mal es que algo estarás haciendo bien</t>
  </si>
  <si>
    <t>http://kantinusportsteve.blogspot.com/</t>
  </si>
  <si>
    <t>Marta González Vázquez</t>
  </si>
  <si>
    <t>Y continuamos con los gestos y cesiones hacia los indepes, por parte del equipo de Pedro Sánchez. Lamentablemente, este cese estaba cantado.</t>
  </si>
  <si>
    <t>https://www.elmundo.es/espana/2018/11/21/5bf59215268e3e21068b4592.html</t>
  </si>
  <si>
    <t>Vicesecretaria Nacional de Comunicación del @PPopular y Diputada por A Coruña del @GPPopular en el @Congreso_Es. Santiago de Compostela</t>
  </si>
  <si>
    <t>http://www.pp.es/marta-gonzalez-vazquez</t>
  </si>
  <si>
    <t>Ricardo Ynestrillas</t>
  </si>
  <si>
    <t>Repugnante y contradictorio, una vez más, con lo que decía Pedro Sánchez antes de ayer por la tarde, cuando no era presidente. Ya le están ejecutando las hipotecas dadas para llegar a la Moncloa, tras lo cual hace lo contrario de lo prometido: HIPÓCRITA él y GOLPISTAS SUS SOCIOS. RT @elmundoes: #ÚltimaHora 🔴 El Gobierno releva al abogado del Estado en el juicio del 'procés' por discrepar en la acusación a los presos</t>
  </si>
  <si>
    <t>https://twitter.com/elmundoes/status/1065292543192195078
https://trib.al/cHUe4bL</t>
  </si>
  <si>
    <t>Inscrito en U.Podemos,miembro de la Federación Sindicalista Republicana; ABOGADO.Libros: "Ynestrillas. Crónica de un hombre libre" y "La Reconquista del Estado"</t>
  </si>
  <si>
    <t>https://www.facebook.com/ynestrillasabogado/</t>
  </si>
  <si>
    <t>david gonzal</t>
  </si>
  <si>
    <t>Tengo la impresión de que a Pedro Sánchez se le ha ido España de las manos. Entre sus colegas fascistas, Cataluña a lo suyo, la Justicia desquiciada y el Congreso en contra, la está cagando y bien</t>
  </si>
  <si>
    <t>Barcelona, Spain</t>
  </si>
  <si>
    <t>Sobrino de un cangrejo ilustrado. Practicante de la pasividad aguerrida combinada con centralismo excéntrico.</t>
  </si>
  <si>
    <t>Carlos A. Montaner</t>
  </si>
  <si>
    <t>Pedro Sánchez no se reunirá con la oposición al castrismo en su viaje a Cuba -  #GoogleAlerts</t>
  </si>
  <si>
    <t>http://goo.gl/alerts/ES1av</t>
  </si>
  <si>
    <t>Escritor y periodista</t>
  </si>
  <si>
    <t>Consuelo de la Torre</t>
  </si>
  <si>
    <t>País Vasco, Madrid, Cataluña, etc, los golpistas, podemos y la eta tienen la estrategia de llamar fascistas a los partidos constitucionales. Es una vergüenza que Pedro Sánchez no tome medidas. ¿Busca desligitimar el estatu quo actual y traer la República?</t>
  </si>
  <si>
    <t>Luis Valcárcel</t>
  </si>
  <si>
    <t>Qué difícil es reconocer que los socios de Pedro Sánchez, los que mantienen a este gobierno socialista, son los que están degradando la democracia cada día!! La demagogia y echarle la culpa a terceros, SOBRA!! RT @J_Zaragoza_: Parece que Rufián ha aprendido de la política de Rafa Hernando, la política del insulto y la crispación. PP y Cs quieren instaurar la dinámica de la confrontación y la descalificación personal en la Cámara y olvidan los problemas reales de los ciudadanos</t>
  </si>
  <si>
    <t>https://twitter.com/J_Zaragoza_/status/1065296090147274752</t>
  </si>
  <si>
    <t>pic.twitter.com/5ajFaDgVLg</t>
  </si>
  <si>
    <t>Controller en la industria nuclear, preocupado por el medioambiente y convencido de la seguridad nuclear. Melómano, lector y liberal.</t>
  </si>
  <si>
    <t>Angel Gomez Molinero</t>
  </si>
  <si>
    <t>Pedro Sánchez riza el rizo propone el Mundial 2030 España,Portugal, Marruecos, cree que todos los moros estarán en España en 2030,</t>
  </si>
  <si>
    <t>arafo tenerife</t>
  </si>
  <si>
    <t>aviacion submarinista y cuidador perros</t>
  </si>
  <si>
    <t>Cristina Manzano</t>
  </si>
  <si>
    <t>¿Qué quiere Pedro Sánchez en La Habana? -  via @esglobal_org</t>
  </si>
  <si>
    <t>https://go.shr.lc/2SXzOHc</t>
  </si>
  <si>
    <t>Periodismo, relaciones internacionales y curiosidad global. Lo que pasa en el mundo es ameno e interesante. Directora de esglobal.</t>
  </si>
  <si>
    <t>http://www.esglobal.org</t>
  </si>
  <si>
    <t>tartesiano</t>
  </si>
  <si>
    <t>Enhorabuena!!!</t>
  </si>
  <si>
    <t>https://andaluciainformacion.es/jaen/789693/pedro-sanchez-trae-a-jaen-la-primera-estrella-michelin/</t>
  </si>
  <si>
    <t>andaluz de Sevilla, soberanísta andaluz, republicano, laico, ecologista, humanista...🙂</t>
  </si>
  <si>
    <t>Grupo PSOE Murcia</t>
  </si>
  <si>
    <t>Por fin se trabaja en recuperar los restos arqueológicos del yacimiento de San Esteban y desde el PSOE, además de celebrarlo, recordamos que ha sido posible en gran parte gracias a la insistencia y el apoyo del Gobierno central que dirige Pedro Sánchez.</t>
  </si>
  <si>
    <t>http://murciapsoe.es/2018/11/22/el-psoe-recuerda-que-el-gobierno-de-sanchez-desbloquea-la-recuperacion-arqueologica-de-san-esteban-triplicando-la-ayuda-que-daba-rajoy/</t>
  </si>
  <si>
    <t>Twitter oficial del Grupo Municipal Socialista en el Ayuntamiento de Murcia. #MejorandoMurcia #LoPrimeroLasPersonas</t>
  </si>
  <si>
    <t>http://www.murciapsoe.es</t>
  </si>
  <si>
    <t>EL OBRERO</t>
  </si>
  <si>
    <t>Madrid pide a Pedro Sánchez eliminar el límite del fondo de competitividad</t>
  </si>
  <si>
    <t>https://elobrero.es/economia/item/21675-madrid-pide-a-pedro-sanchez-eliminar-el-límite-del-fondo-de-competitividad.html</t>
  </si>
  <si>
    <t>Diario digital de actualidad editado y dirigido por Obrer@s. Política, economía, cultura, ciencia, análisis y opinión.</t>
  </si>
  <si>
    <t>https://elobrero.es/</t>
  </si>
  <si>
    <t>PP Asamblea Madrid</t>
  </si>
  <si>
    <t>📰@eossoriocrespo "Las políticas del @ppmadrid crean empleo, generan confianza y menor desigualdad, mientras Pedro Sánchez insiste en los errores pasados del PSOE que nos conducen al desastre." 👉  #PlenoAsamblea #PGCM19</t>
  </si>
  <si>
    <t>http://bit.ly/2zlia7I</t>
  </si>
  <si>
    <t>https://pbs.twimg.com/media/Dsm_Sx6WoAEoCuw.jpg</t>
  </si>
  <si>
    <t>Twitter del Grupo Popular de la Asamblea de Madrid. Portavoz @eossoriocrespo. Presidente @angelgarridog.</t>
  </si>
  <si>
    <t>http://www.ppasamblea.es</t>
  </si>
  <si>
    <t>Francisco Caraballo</t>
  </si>
  <si>
    <t>https://okdiario.com/espana/2018/11/21/sanchez-mando-coche-oficial-vacio-valladolid-hacer-8-kms-del-aeropuerto-ciudad-3377374#.W_aq8jBfGm8.twitter</t>
  </si>
  <si>
    <t>A Coruña España</t>
  </si>
  <si>
    <t>Nací en Granada, pero desde 1.989, vivo en Coruña. Soy Católico, tengo una gran devoción, a Jesús Misericordioso y a nuestra Madre del Cielo.</t>
  </si>
  <si>
    <t>http://hermandad-de.blogspot.com</t>
  </si>
  <si>
    <t>Madrid es Noticia</t>
  </si>
  <si>
    <t>Pedro Sánchez ha recibido hoy en La Moncloa al presidente de la Comunidad de Madrid, Ángel Garrido. Estos son los temas que han tratado 📃</t>
  </si>
  <si>
    <t>https://www.madridesnoticia.es/2018/11/reunion-moncloa-pedro-sanchez-angel-garrido/</t>
  </si>
  <si>
    <t>El diario digital de referencia en la Comunidad de Madrid. | Actualidad, Opinión, Municipios, Cultura, Ocio, Tendencias, Deportes...</t>
  </si>
  <si>
    <t>http://www.madridesnoticia.es</t>
  </si>
  <si>
    <t>||*|| Votante Furtivo🎗</t>
  </si>
  <si>
    <t>La delincuencia siempre da buena imagen a un país, si señor.  #NewsSuite</t>
  </si>
  <si>
    <t>https://ecoteuve.eleconomista.es/series/noticias/9533998/11/18/Pedro-Sanchez-presume-de-series-espanolas-Farina-El-Principe-y-La-casa-de-papel-nos-dan-prestigio.html
http://bit.ly/NewsSuite</t>
  </si>
  <si>
    <t>El hombre nace libre, responsable y sin excusas' Jean Paul Sartre</t>
  </si>
  <si>
    <t>TROMPETA..7⏳</t>
  </si>
  <si>
    <t>RANKING: Cacicadas y despropósitos del gobierno de Pedro Sánchez- InfoVlogger</t>
  </si>
  <si>
    <t>https://www.youtube.com/attribution_link?a=TaKCUPRMCak&amp;u=%2Fwatch%3Fv%3DFkjp0p2xyoc%26feature%3Dshare</t>
  </si>
  <si>
    <t xml:space="preserve">Barcelona. España </t>
  </si>
  <si>
    <t>Nunca lleves tus mejores pantalones cuando salgas a luchar por la paz y la libertad</t>
  </si>
  <si>
    <t>@AleGmz251</t>
  </si>
  <si>
    <t>Bienvenido sea el Presidente de España Pedro Sanchez a Nuestra bella Cuba de Hoy #CubaLibre Cuba-España</t>
  </si>
  <si>
    <t>https://pbs.twimg.com/media/Dsm_HQuUcAED8Af.jpg</t>
  </si>
  <si>
    <t>😎</t>
  </si>
  <si>
    <t>Eusebio Fernández</t>
  </si>
  <si>
    <t>Monólogo de Herrera del jueves 22 de noviembre  El @PSOE va a significar Pedro Sánchez Organizador de Eventos</t>
  </si>
  <si>
    <t>https://www.cope.es/a/582104</t>
  </si>
  <si>
    <t>Siero. Asturias</t>
  </si>
  <si>
    <t>Asturiano y por tanto español hasta la médula. Defensor de la fiesta de los toros. Españolista, madridista y oviedista.</t>
  </si>
  <si>
    <t>Luis Aury 🇻🇪 Cuba pre Nueva Rhodesia del Norte</t>
  </si>
  <si>
    <t>.@LOQUEDIGAELFMI Hilo videazos del #REGESP. En #Cuba necesitan hoy a .@gabrielrufian con la visita de los anticubanos Pedro Sánchez y Josep Borrell (por si dice un cubano contrario a la reforma constitucional le escupió) .@williamserafino .@Karol_en_Red @Harkonen_1 .@ErikaOSanoja RT @ggohom: @orhpositivoatak Incluído el dictador del #REGESP. El régimen España agudiza su crisis sistémica, ahora con la corrupción judicial y policial. Vean estos micros del bochinche español #vidggh #tmsggh .@MariaesPueblo .@LailaTajeldine .@Larissacostas .@AmalCandanguera .@lubrio .@planwac .@QueraElse</t>
  </si>
  <si>
    <t>https://twitter.com/ggohom/status/1065399415370846208</t>
  </si>
  <si>
    <t>pic.twitter.com/sP6UwcUgiv</t>
  </si>
  <si>
    <t>Hugo Chávez: Unidad, Lucha, Batalla y Victoria http://AVN.info.ve http://www.MisionVerdad.com http://visconversa.com http://www.15yultimo.com</t>
  </si>
  <si>
    <t>http://albaciudad.org</t>
  </si>
  <si>
    <t>Xavier Brotons</t>
  </si>
  <si>
    <t>Tribuna | Cuba, un viaje arriesgado para Pedro Sánchez; por Yoani Sánchez  via @el_pais</t>
  </si>
  <si>
    <t>Amicus Plato, sed magis amica ueritas.</t>
  </si>
  <si>
    <t>PP de Asturias</t>
  </si>
  <si>
    <t>Nuestra presidenta @cherines_pp en #Avilés: "La política energética de Pedro Sánchez supone el cierre de Asturias y pone fin a nuestro sistema productivo. Desolación, estancamiento y paro"</t>
  </si>
  <si>
    <t>https://bit.ly/2r1itQC</t>
  </si>
  <si>
    <t>https://pbs.twimg.com/media/Dsm-4W3XQAAD7pd.jpg</t>
  </si>
  <si>
    <t>Principado de Asturias</t>
  </si>
  <si>
    <t>Nuestra sede en Twitter, abierta a todos los asturianos. ¡Bienvenidos! Presidenta: @cherines_pp.</t>
  </si>
  <si>
    <t>http://www.pp-asturias.com</t>
  </si>
  <si>
    <t>El 'okupa' Sánchez movilizó dos aeronaves para ahorrarse solo 8 minutos en su viaje de Madrid a Valladolid</t>
  </si>
  <si>
    <t>https://www.periodistadigital.com/motor/novedades/2018/11/21/pedro-sanchez-moviliza-dos-aeronaves-para-ahorrar-ocho-minutos-en-un-viaje-entre-madrid-y-valladolid.shtml</t>
  </si>
  <si>
    <t>Arturo Perez</t>
  </si>
  <si>
    <t>Caraqueño, militante del PSUV</t>
  </si>
  <si>
    <t>Idania</t>
  </si>
  <si>
    <t>Presidente del gobierno español realizará visita a Cuba El presidente de España Pedro Sánchez Pérez Castejón realizará una visita oficial a Cuba a partir de hoy durante la cual sostendrá conversaciones oficiales con autoridades cubanas y realizará otras actividades #Cuba #España</t>
  </si>
  <si>
    <t>https://pbs.twimg.com/media/Dsm9sXDVYAEpLi6.jpg</t>
  </si>
  <si>
    <t>"Los 'yumas' serán otra cosa, pero los 'pepes' son familia". ¿Cómo reciben los cubañoles a Pedro Sánchez? #Cuba</t>
  </si>
  <si>
    <t>http://bit.ly/2PMddPz</t>
  </si>
  <si>
    <t>https://pbs.twimg.com/media/Dsm9p7oWsAAfyGC.jpg</t>
  </si>
  <si>
    <t>Demócratas</t>
  </si>
  <si>
    <t>Pedro Sánchez evita condenar la actitud de Gabriel Rufián en el Congreso: "Todos tenemos la culpa" Vía El Mundo</t>
  </si>
  <si>
    <t>Yo tuve un sueño. I have a dream. Únete al proyecto. Unión de Centro Demócrata Independiente. info@democratasindependientes.org</t>
  </si>
  <si>
    <t>http://www.democratasindependientes.org</t>
  </si>
  <si>
    <t>CUBA - ESPAÑA | Pedro Sánchez será el primer gobernante español que visite a Cuba en los últimos 32 años. #relaciones #cubanos #españoles #visita</t>
  </si>
  <si>
    <t>https://www.radiotelevisionmarti.com/a/pedro-sanchez-viaja-cuba-medio-interrogantes-abiertas/221278.html</t>
  </si>
  <si>
    <t>laSextaNoche</t>
  </si>
  <si>
    <t>VÍDEO | El análisis de Carlos Alsina sobre Pedro Sánchez: "Tiene la voluntad de permanecer hasta 2020 pero no está ciego"</t>
  </si>
  <si>
    <t>http://atres.red/ezjda8</t>
  </si>
  <si>
    <t>Twitter oficial de laSexta noche. Cada sábado, a las 21:20h, con @_InakiLopez_ y @andrearopero. Entenderás lo que sucede durante la semana en una sola noche.</t>
  </si>
  <si>
    <t>http://www.lasexta.com/programas/sexta-noche/</t>
  </si>
  <si>
    <t>Armando Álvarez Lugo</t>
  </si>
  <si>
    <t>https://www.aporrea.org/internacionales/n334640.html</t>
  </si>
  <si>
    <t>Sociólogo, Dr. Antropología Social Universidad de Barcelona/ España Prof. Titular/Universidad de Carabobo/Venezuela. Revolucionario</t>
  </si>
  <si>
    <t>Oscar Montauti</t>
  </si>
  <si>
    <t>#FiccionesyDesquicios al bueno de Pedro Sánchez, le aplica perfecto lo de "cara e´tabla"... que evidentemente comparte con el no menos bueno de su "co-religionario" José Luis Rodríguez Zapatero... ay @pablocasado_ al PP le tocará volver a batallar con el desastre que dejará PSOE RT @pablocasado_: Pedro Sánchez y Susana Díaz merecen ir a la oposición antes de arruinar España y terminar de arruinar Andalucía. Sr. Sánchez, deje de usar las instituciones en su beneficio, tenga sentido de Estado y convoque elecciones ya. #SesiónDeControl</t>
  </si>
  <si>
    <t>https://twitter.com/pablocasado_/status/1065321038865674241</t>
  </si>
  <si>
    <t>pic.twitter.com/aakdt7f4Pj</t>
  </si>
  <si>
    <t>ÜT: 11.094894,-63.857494</t>
  </si>
  <si>
    <t>I was born in Argentina. Currently film director/executive producer at OM Films/Ccs &amp; OM FL/Miami and today in Batifondo. Humorous and witty whenever I want.</t>
  </si>
  <si>
    <t>http://www.omfilms.com</t>
  </si>
  <si>
    <t>TheCormental</t>
  </si>
  <si>
    <t>Cada vez mas cerca de mis objetivos ! M.J. DO IT WITH L.O.V.E.</t>
  </si>
  <si>
    <t>https://www.instagram.com/crisnpatience/</t>
  </si>
  <si>
    <t>Isa Herrera García</t>
  </si>
  <si>
    <t>No soporto el Maltrato Animal, y el Maltrato hacia personas.. No tolero las injusticias.Donante de Plasma, Plaketas y Médula. VOTO PACMA!!!</t>
  </si>
  <si>
    <t>josep</t>
  </si>
  <si>
    <t>Pedro Sánchez: "Si no acordamos los Presupuestos mi vocación de llegar al final de la legislatura se ve acortada"</t>
  </si>
  <si>
    <t>https://okdiario.com/espana/2018/11/20/sanchez-si-no-acordamos-presupuestos-vocacion-llegar-final-legislatura-ve-acortada-3370455?utm_campaign=ok&amp;utm_medium=Social&amp;utm_source=Facebook#Echobox=1542706068</t>
  </si>
  <si>
    <t>Com si sentís ploure !! 🎗🎗🎗🎗✊✊✊✊</t>
  </si>
  <si>
    <t>FJGR</t>
  </si>
  <si>
    <t>https://okdiario.com/espana/2018/11/21/sanchez-mando-coche-oficial-vacio-valladolid-hacer-8-kms-del-aeropuerto-ciudad-3377374#.W_anI5reshA.twitter</t>
  </si>
  <si>
    <t>Arquitecto Urbanista</t>
  </si>
  <si>
    <t>http://www.lacasadelosmayores.com</t>
  </si>
  <si>
    <t>Foro Abierto</t>
  </si>
  <si>
    <t>España: #AdelantoElectoral @euricocampano: "es imposible gobernar con 84 escaños. El exministro socialista Sebastián dijo, hace poco, que prefería prorrogar los presupuestos del PP. Pedro Sánchez puede arrebatar 20 escaños a Pablo iglesias, quitándole la bandera de la izquierda".</t>
  </si>
  <si>
    <t>Programa de televisión dedicado al debate sobre la actualidad política, económica y social.</t>
  </si>
  <si>
    <t>🔴 @theresa_may: "Anoche hablé con el presidente español Pedro Sánchez y confío en que el domingo podamos llegar a un acuerdo beneficioso para toda la familia del Reino Unido, incluido Gibraltar"</t>
  </si>
  <si>
    <t>http://www.rtve.es/n/1841887</t>
  </si>
  <si>
    <t>https://pbs.twimg.com/media/Dsm7xabVsAAteib.jpg</t>
  </si>
  <si>
    <t>Alejo Miranda de Larra</t>
  </si>
  <si>
    <t>El Presidente @AngelGarridoG ha exigido a Pedro Sánchez q cumpla con los compromisos con Madrid: q no recorte 4000 millones en infraestructuras como ha anunciado Ábalos. #GarridoMoncloa</t>
  </si>
  <si>
    <t>https://pbs.twimg.com/media/Dsm7hK1X4AAK6_U.jpg</t>
  </si>
  <si>
    <t>MBA IESE. Director General de Infraestructuras Sanitarias de @ComunidadMadrid. 🏥Modernizando nuestros hospitales públicos y 🔬dotándolos de última tecnología.</t>
  </si>
  <si>
    <t>JUAN ANTONIO CAMPOS PALOMO</t>
  </si>
  <si>
    <t>300 EUROS VA A SUBIR EL SUELDO PEDRO SANCHEZ A LOS FUNCIONARIOS 👏👏👏👏👏👏👏👏👏👏👏👏👏👏👏👏👏👏👏👏</t>
  </si>
  <si>
    <t>https://www.elconfidencialdigital.com/articulo/dinero/primer-decretazo-pedro-sanchez-subida-300-euros-funcionarios/20181119192406118305.html</t>
  </si>
  <si>
    <t>POLÍTICA, ECOLOGÍA, FUTBOL, NUDISMO, PAJAROS, FOTOS y SOLIDARIDAD ESTE ES MI GRUPO AMIGOS/AS MÁLAGA EN EL FACEBOOK: http://m.facebook.com/groups/2475313…</t>
  </si>
  <si>
    <t>https://m.facebook.com/groups/247531306734?ref=bookmarks</t>
  </si>
  <si>
    <t>La variante de la A-1 es un proyecto esperado por decenas de miles de madrileños, atrapados cada día en la entrada a la capital desde el norte de la región. Un proyecto del @PPopular que Pedro Sánchez tenía paralizado y que por fin tendrá luz verde.</t>
  </si>
  <si>
    <t>http://www.expansion.com/economia/2018/11/22/5bf695cbca4741124c8b45f2.html</t>
  </si>
  <si>
    <t>The Old Conspiratio</t>
  </si>
  <si>
    <t>Bruselas desmonta punto por punto el Presupuesto de Pedro Sánchez</t>
  </si>
  <si>
    <t>https://despiertaalfuturo.blogspot.com/2018/11/bruselas-desmonta-punto-por-punto-el.html</t>
  </si>
  <si>
    <t>https://pbs.twimg.com/media/Dsm62V-XQAAkbUV.jpg</t>
  </si>
  <si>
    <t>Descubre las conspiraciones ocultas de la historia. ¡Que no te engañen! http://despiertalfuturo.piensaen.es/</t>
  </si>
  <si>
    <t>http://despiertalfuturo.piensaen.es/</t>
  </si>
  <si>
    <t>The walker activist</t>
  </si>
  <si>
    <t>https://pbs.twimg.com/media/Dsm6zLJXQAEU-pt.jpg</t>
  </si>
  <si>
    <t>Noticias sin censura. http://despiertalfuturo.piensaen.es/</t>
  </si>
  <si>
    <t>https://okdiario.com/espana/2018/11/21/sanchez-mando-coche-oficial-vacio-valladolid-hacer-8-kms-del-aeropuerto-ciudad-3377374#.W_alyKjyMyI.twitter</t>
  </si>
  <si>
    <t>twittplaceteñaaldía</t>
  </si>
  <si>
    <t>#CubaBiografía oficial del Excmo. Sr. Pedro Sánchez Pérez-Castejón, presidente del Gobierno del Reino de España  Via @Granma_Digital</t>
  </si>
  <si>
    <t>PLacetas</t>
  </si>
  <si>
    <t>Nací el 15 de Febrero de 1965.Soy periodista en Radio Placetas.</t>
  </si>
  <si>
    <t>BoladeNudillos</t>
  </si>
  <si>
    <t>Biografía oficial del Excmo. Sr. Pedro Sánchez Pérez-Castejón, presidente del Gobierno del Reino de España  #Cuba #España</t>
  </si>
  <si>
    <t>Santiago de Cuba</t>
  </si>
  <si>
    <t>Eterno aprendiz e hijo de la constancia</t>
  </si>
  <si>
    <t>Don Maricón (Miguel PF)</t>
  </si>
  <si>
    <t>Hoy ocurre el viaje oficial de Pedro Sánchez a Cuba para reunirse con Miguel Díaz. Una estancia a la que, según comunicado de Moncloa, ya ha negado reunirse con la disidencia "para no desairar al castrismo". Esto tienen que decirle los verdaderos cubanos al Dr. Pedro.</t>
  </si>
  <si>
    <t>pic.twitter.com/2HA9L0evsX</t>
  </si>
  <si>
    <t>MariconDeEspaña. Gay, culto, provocador, justo, punky, políticamente incorrecto y openminded. Contra el pensamiento único. Pienso, luego no soy de izquierdas.</t>
  </si>
  <si>
    <t>http://mariconculto.wordpress.com</t>
  </si>
  <si>
    <t>#Agenda La Habana – El presidente del Gobierno de España, Pedro Sánchez, inicia hoy una visita oficial a Cuba, donde se entrevistará con las principales autoridades de la isla y se reunirá con la colonia española.</t>
  </si>
  <si>
    <t>Jordi Barcia</t>
  </si>
  <si>
    <t>May, en la puerta del 10 de Downing Street: "anoche hablé con el primer ministro español, Pedro Sánchez, y estoy segura de que el domingo podremos llegar a un acuerdo que cumpla con toda la familia británica, incluyendo a Gibraltar" RT @PaulBrandITV: BREAKING: PM says text of political declaration agreed overnight. Cabinet updated and statement to MPs later. “This is the right deal for the UK” she says. Now up to other 27 leaders to examine it and she’ll be speaking to them before Sunday.</t>
  </si>
  <si>
    <t>https://twitter.com/PaulBrandITV/status/1065586238361673729</t>
  </si>
  <si>
    <t>https://pbs.twimg.com/media/Dsm4mDxXQAAY8ia.jpg</t>
  </si>
  <si>
    <t>Corresponsal de @RNE en Londres / Spanish National Radio UK correspondent</t>
  </si>
  <si>
    <t>http://about.me/jordibarcia</t>
  </si>
  <si>
    <t>IDENTIDAD Y CULTURA</t>
  </si>
  <si>
    <t>Y le decía Pedro Sánchez a Rajoy que era un mentiroso. Hay que tener caradura para ir así por la vida</t>
  </si>
  <si>
    <t>La obsesión de los nacionalismos por inventar o significar interesadas singularidades identitarias, se basa en ocultar y justificar ignorancias y privilegios</t>
  </si>
  <si>
    <t>El Diario de Caracas</t>
  </si>
  <si>
    <t>Cuba, un viaje arriesgado para Pedro Sánchez  #Opinion</t>
  </si>
  <si>
    <t>http://j.mp/2Acjslm</t>
  </si>
  <si>
    <t>https://pbs.twimg.com/media/Dsm5AKbW0AAcwo9.jpg</t>
  </si>
  <si>
    <t>El Diario de Caracas regresa con su original línea maestra de ser un periódico digital crítico a toda gestión política, económica, social y cultural</t>
  </si>
  <si>
    <t>https://diariodecaracas.com</t>
  </si>
  <si>
    <t>Hoy viaja Pedro Sánchez a #Cuba. Aquí algunas pautas para enmarcar la visita @esglobal_org</t>
  </si>
  <si>
    <t>Odón Elorza</t>
  </si>
  <si>
    <t>📣 Viernes 23 en Eibar. 📌 Charla/Debate sobre los Presupuestos del Gobierno de Pedro Sánchez y la situación política. 📌 18h en Casa del Pueblo , Unzaga. ⁦⁩ 📌 @PSEEIBAR⁩ ⁦@PSEGIPUZKOA⁩ ⁦@PSOE⁩</t>
  </si>
  <si>
    <t>https://pbs.twimg.com/media/Dsm4oriWoAAZwGi.jpg</t>
  </si>
  <si>
    <t xml:space="preserve">Donostia-San Sebastián </t>
  </si>
  <si>
    <t>Diputado PSOE por Gipuzkoa/ La izquierda combate desigualdades,precariedad y corrupción. Y responde a los desafíos del siglo XXI. #Transparencia #Participación</t>
  </si>
  <si>
    <t>http://www.odonelorza.com</t>
  </si>
  <si>
    <t>Vaya portavoz asturiana que tenemos, da gusto ver cómo defiende el socialismo del siglo XXI. El problema es que hay miles de...</t>
  </si>
  <si>
    <t>El Arconte</t>
  </si>
  <si>
    <t>Queda claro que en Europa no se toman en serio al gobierno de Pedro Sánchez es lo que tiene ir de buen alumno en política internacional. La UE da un paso más hacia el acuerdo del Brexit pero sin resolver la cuestión de Gibraltar  vía @elmundoes</t>
  </si>
  <si>
    <t>Escritor de la novela El Arconte.</t>
  </si>
  <si>
    <t>https://elarconte.com/</t>
  </si>
  <si>
    <t>Maite</t>
  </si>
  <si>
    <t>Pedro Sánchez responsabiliza a Casado y a Rufián de la crispación política y les exige disculpas públicas  vía @elmundoes</t>
  </si>
  <si>
    <t>elperro</t>
  </si>
  <si>
    <t>Pedro Sánchez demuestra hoy su odio a las dictaduras y su pluralidad política reuniéndose con el presidente de la dictadura comunista cubana y excluyendo de la visita a la disidencia.</t>
  </si>
  <si>
    <t>Victoria Heitzmann</t>
  </si>
  <si>
    <t>http://victoria-heitzmann.blogspot.com</t>
  </si>
  <si>
    <t>Javier. 🎱</t>
  </si>
  <si>
    <t>Y Pedro Sánchez dijo a sus acólitos: -Me boi a Bayadoliz en vión, parato o eroplano. Mandéis el haiga a esa ziudad y allí nos bemos. Cojo el haiga y dende laropuerto boi a la ziudad. Luego lo mesmo pero a la inbersa. Oquei?</t>
  </si>
  <si>
    <t>Talavera de la Ruina. España</t>
  </si>
  <si>
    <t>Soy intolerante con los rebuznos intelectuales. Bloqueo.</t>
  </si>
  <si>
    <t>aqui los INDIGNOS DE PP PSOE CS VOX ......son los que piden DIGNIDADA POLITICA .....HICIMOS BIEN DE UNIRNOS Y ECHAR A RAJOY SU GOBIERNO ERA IMSOPORTABLE ....PERO NOS EQUIVOCAMOS CON PEDRO SANCHEZ!!!!!ELECCIONES YA !!</t>
  </si>
  <si>
    <t>El presidente del gobierno español. Pedro Sánchez, quien en septiembre se reunió en la ONU con Díaz Canel, llega esta tarde a La Habana. @RadioRelojCuban @radiorelojcuba @CimarronCuba</t>
  </si>
  <si>
    <t>https://pbs.twimg.com/media/Dsm4GBtVAAAtPxh.jpg</t>
  </si>
  <si>
    <t>Pascual Ruiz</t>
  </si>
  <si>
    <t>No pasa nada. ¡Todos con Pedro Sánchez! Antena 3 también. RT @AngelBaena5: Que fue de aquellos casos de corrupción que estaba investigando la UCO del cesado por el gobierno de P.Sanchez, Coronel Sanchez Corbi, entre ellos la del PSPV-PSOE.?</t>
  </si>
  <si>
    <t>https://twitter.com/AngelBaena5/status/1065584557695602693
https://amp.elmundo.es/opinion/2018/07/02/5b3917b1468aebfd078b45aa.html?__twitter_impression=true</t>
  </si>
  <si>
    <t>Autónomo. Amo la libertad y la justicia. Católico y contestatario. Me transformo en sarcástico ante las tonterías. Me gusta pensar y discrepar</t>
  </si>
  <si>
    <t>ASAJA MURCIA</t>
  </si>
  <si>
    <t>ASAJA MURCIA TILDA DE “INSOSTENIBLE” LA SITUACIÓN DE LOS CAMIONEROS ESPAÑOLES EN FRANCIA Y EXIGE AL GORBIERNO DE PEDRO SÁNCHEZ QUE “ACTÚE INMEDIATAMENTE” @EUparliament @EU_Commission @desdelamoncloa</t>
  </si>
  <si>
    <t>http://www.asajamurcia.com/noticia/201811/22/asaja-murcia-tilda-de-insostenible-la-situacion-de-los-camioneros-espanoles-en#.W_ainfTjsHd.twitter</t>
  </si>
  <si>
    <t>C/Parpallota n°13,30007 Murcia</t>
  </si>
  <si>
    <t>ADEA-ASAJA es una Organización Profesional Agraria de la Región de Murcia. Agricultura,ganaderia, calidad, medioambiente, ayudas, seguros agrarios,formación</t>
  </si>
  <si>
    <t>http://www.asajamurcia.com</t>
  </si>
  <si>
    <t>Espero que Pedro Sánchez se mantenga firme en vetar el acuerdo del Brexit si no se modifica el artículo 184 de este tratado Ya está bien de que tanto UK como la UE nos tomen por el pito del sereno, aunque mucho me temo que será así una vez más.</t>
  </si>
  <si>
    <t>El presidente del Gobierno del Reino de #España, excelentísimo señor Pedro Sánchez Pérez-Castejón, llegará hoy a #Cuba en visita oficial.</t>
  </si>
  <si>
    <t>http://bit.ly/2TzPj8d</t>
  </si>
  <si>
    <t>UnaMas🇪🇸</t>
  </si>
  <si>
    <t>Franco vs Pedro Sánchez | Olvídame y pega la vuelta (Pimpinela) | La exh...  vía @YouTube🤣🤣🤣🤣😂😂😂😂🤣😂🤣😂🤣😂🤣🤣😂😜</t>
  </si>
  <si>
    <t>https://youtu.be/xyErsntwAFo</t>
  </si>
  <si>
    <t>No te importa</t>
  </si>
  <si>
    <t>Solo confío en mi y a veces ni eso</t>
  </si>
  <si>
    <t>Victor Riverola</t>
  </si>
  <si>
    <t>Golpistas? No veo militares catalanes intentando derrocar a Pedro Sanchez por la fuerta.</t>
  </si>
  <si>
    <t>Iceland</t>
  </si>
  <si>
    <t>Ex-international correspondent. Marketing Communication. Climber. Filmmaker. Author of 14 books. General Manager in Matterfilm #geopolitics #mountain #ski #film</t>
  </si>
  <si>
    <t>http://www.victorriverola.com</t>
  </si>
  <si>
    <t>Carlos Payá Sardiñas</t>
  </si>
  <si>
    <t>Resumen de entrevista a Carlos Payá ( Movimiento Cristiano Liberación) en Televisión Española Sobre visita a Cuba de Presidente de Gobierno de España Pedro Sánchez.</t>
  </si>
  <si>
    <t>http://www.oswaldopaya.org/es/2018/11/22/resumen-de-entrevista-a-carlos-paya-movimiento-cristiano-liberacion-en-television-espanola-sobre-visita-a-cuba-de-presidente-de-gobierno-de-espana-pedro-sanchez/</t>
  </si>
  <si>
    <t>https://pbs.twimg.com/media/Dsm2pB9XcAAcyfb.jpg</t>
  </si>
  <si>
    <t>Sesame</t>
  </si>
  <si>
    <t>Controlar los horarios de trabajo, reducir el número de contratos o eliminar bonificaciones, son algunas de las reformas planteadas por Pedro Sánchez.</t>
  </si>
  <si>
    <t>https://superrhheroes.sesametime.com/controlar-los-horarios-de-trabajo/</t>
  </si>
  <si>
    <t>https://pbs.twimg.com/media/Dsm2WoNXgAU1VLP.jpg</t>
  </si>
  <si>
    <t>#App que sustituye los antiguos sistemas de fichaje. Control de horas y autogestión del tiempo en el trabajo.</t>
  </si>
  <si>
    <t>http://www.sesametime.com</t>
  </si>
  <si>
    <t>MilitaresConFuturo</t>
  </si>
  <si>
    <t>Primer ‘decretazo’ de Pedro Sánchez: subida de 300 euros a los funcionarios - Dinero - El Confidencial Digital - elconfidencialdigital</t>
  </si>
  <si>
    <t>https://buff.ly/2Kr1Ma6</t>
  </si>
  <si>
    <t>En MCF caben tod@s l@s que quieran dignificar las condiciones laborales y derechos de los militares. militaresconfuturo@protonmail.com</t>
  </si>
  <si>
    <t>https://www.facebook.com/MilitaresConFuturo/</t>
  </si>
  <si>
    <t>Belén</t>
  </si>
  <si>
    <t>Dejan un médico y un ATS para toda Chiclana, y llevan al mitin del PSOE un médico y un ATS, pagados con dinero de todos los andaluces, además de los que se lleva Pedro Sánchez de Moncloa en sus viajes. La corrupción no se cura, se contagia. #FelizJueves</t>
  </si>
  <si>
    <t>https://amp.elmundo.es/andalucia/2018/11/21/5bf597c7e2704e03438b47b8.html?__twitter_impression=true</t>
  </si>
  <si>
    <t>Sin pretensiones de adoctrinar, ni que me adoctrinen, sólo aprender, informarme y dar mi opinión, ni mejor, ni peor, la mía.</t>
  </si>
  <si>
    <t>ASAJA MURCIA TILDA DE “INSOSTENIBLE” LA SITUACIÓN DE LOS CAMIONEROS ESPAÑOLES EN FRACIA Y EXIGE AL GORBIERNO DE PEDRO SÁNCHEZ QUE “ACTÚE INMEDIATAMENTE” @EU_Commission @Europarl_ES @regiondemurcia @AsajaNacional</t>
  </si>
  <si>
    <t>http://www.asajamurcia.com/noticia/201811/22/asaja-murcia-tilda-de-insostenible-la-situacion-de-los-camioneros-espanoles-en#.W_agNhFMTUI.twitter</t>
  </si>
  <si>
    <t>Real Javi Mal</t>
  </si>
  <si>
    <t>Iker Casillas es para el fútbol lo que Pedro Sánchez a la política, un personaje cínico, embustero y un “yo, yo y yo”</t>
  </si>
  <si>
    <t>MADRIDISTA Y MOURINHISTA</t>
  </si>
  <si>
    <t>José Antonio Sánchez</t>
  </si>
  <si>
    <t>Construye una oración uniendo los temas importantes para el gobierno de España: "Pedro Sánchez viaja en Falcon para acordar los presupuestos con sus socios independentistas a cambio de que estos puedan escupir sobre la tumba de Franco mientras lo emite la televisión pública".</t>
  </si>
  <si>
    <t>Morαtα de Tαjuñα (Mαdrid)</t>
  </si>
  <si>
    <t>Social Media y Comunicación. Concejal en Morata de Tajuña (Madrid). Padre de 2 hijas preciosas, una aquí y otra en el Cielo. Colaborar antes que competir.</t>
  </si>
  <si>
    <t>Cubaeconomica.com</t>
  </si>
  <si>
    <t>#Opinión #Editorial #Cuba espera a Pedro Sánchez por Aurelio Pedroso</t>
  </si>
  <si>
    <t>http://www.cubaeconomica.com/editorial/10356/cuba-espera-a-pedro-sanchez</t>
  </si>
  <si>
    <t>Noticias de América</t>
  </si>
  <si>
    <t>Llega el presidente español Pedro Sánchez para fortalecer la cooperación bilateral</t>
  </si>
  <si>
    <t>https://ift.tt/2Ad4aga</t>
  </si>
  <si>
    <t>Al Sur</t>
  </si>
  <si>
    <t>La actualidad en América Latina. Política, economía, sociedad, técnologia</t>
  </si>
  <si>
    <t>Monseñor Platinum</t>
  </si>
  <si>
    <t>PEDRO SANCHEZ HA VENDIDO LA DIGNIDAD HUMANA CON TAL DE SEGUIR VIAJANDO GRATIS EN AVION,NECESITA EL APOYO DE LOS MISERABLES,ES POR ELLO QUE MINIMIZA EL ESCUPITAJO.LO PRIXIMO SERA UN PUÑETAZO??? Y TAMBIEN LO TOLERARA??</t>
  </si>
  <si>
    <t>España .</t>
  </si>
  <si>
    <t>FUERZA HONOR SACRIFICIO NOBLEZA Y TESON 🇪🇸</t>
  </si>
  <si>
    <t>francisco</t>
  </si>
  <si>
    <t>“La chulería de Rufián es la hipoteca de Pedro Sánchez”  vía @YouTube otra vez la lía el bufón!</t>
  </si>
  <si>
    <t>Sanlúcar de Barrameda, España</t>
  </si>
  <si>
    <t>Gobierno Política Política Gobierno</t>
  </si>
  <si>
    <t>Kim Junq-ueras</t>
  </si>
  <si>
    <t>Pedro Sánchez pide a Borrell que se disculpe por no haber dejado que el escupitajo le diera en la cara</t>
  </si>
  <si>
    <t>North Katalonia</t>
  </si>
  <si>
    <t>Líder supremo de la República Democrática Popular Catalana cuando la declaremos. De momento calentando en la banda. Reeducando botiflers since 1969.</t>
  </si>
  <si>
    <t>http://es.favstar.fm/users/norcatalan</t>
  </si>
  <si>
    <t>El Mundo Madrid</t>
  </si>
  <si>
    <t>Pedro Sánchez ha recibido hoy al presidente de la Comunidad de Madrid, Ángel Garrido. Del encuentro se lleva un único compromiso de los que le ha planteado al presidente del Gobierno, el proyecto para construir un tercer carril de entrada por la A-1</t>
  </si>
  <si>
    <t>https://www.elmundo.es/madrid/2018/11/22/5bf68116e5fdeaa0398b46b3.html</t>
  </si>
  <si>
    <t>Sección de Madrid de @elmundoes</t>
  </si>
  <si>
    <t>http://www.elmundo.es/madrid</t>
  </si>
  <si>
    <t>George Orwell 67</t>
  </si>
  <si>
    <t>Del Consejero de Pedro Sánchez y el de Ridley Scott: Los buenos diálogos y la basura de los malos. Por Manuel Artero</t>
  </si>
  <si>
    <t>https://ift.tt/2R5g3ft</t>
  </si>
  <si>
    <t>Español. Lo demás, en estos momentos, es accesorio...</t>
  </si>
  <si>
    <t>https://georgeorwell67.blogspot.com/</t>
  </si>
  <si>
    <t>🇪🇸 Saul Trend 🇪🇸</t>
  </si>
  <si>
    <t>Que manía le tenéis a Pedro Sánchez con el tema del Falcon. Sólo le está haciendo un guiño a Iberia para cuando le echen de Presidente del Gobierno tener una puerta giratoria</t>
  </si>
  <si>
    <t>https://pbs.twimg.com/media/Dsm0PsXXcAEctgH.jpg</t>
  </si>
  <si>
    <t>Español y monárquico. Fuera autonomías</t>
  </si>
  <si>
    <t>El presidente del Gobierno de España, por la gracia de golpistas, chavistas, etarras....Pedro Sánchez, no mantendrá ninguna reunión con disidentes cubanos, no sea que la dictadura castrista se enfade</t>
  </si>
  <si>
    <t>Manuel Artero</t>
  </si>
  <si>
    <t>https://wp.me/p8a6rH-2jJ</t>
  </si>
  <si>
    <t>https://pbs.twimg.com/media/DsmzzIvXcAEUKlg.jpg</t>
  </si>
  <si>
    <t>Desde Madrid en paseata</t>
  </si>
  <si>
    <t>Con el equipaje de los reporteros camino de la personal casa de los maquis</t>
  </si>
  <si>
    <t>https://lapaseata.net/</t>
  </si>
  <si>
    <t>https://lapaseata.net/2018/11/22/el-consejero-de-sanchez-y-ridley-scott/</t>
  </si>
  <si>
    <t>Que Pedro Sanchez ha ido a Valladolid en Avión, un trayecto qrn ave es 1h mas o menos. Claro, luego es mi coche diesel el que contamina...</t>
  </si>
  <si>
    <t>enfermeras valencia</t>
  </si>
  <si>
    <t>El presidente del EBB del PNV indica que el "varapalo" por parte de Bruselas "no se lo lleva Pedro Sánchez, se lo lleva el Estado español"</t>
  </si>
  <si>
    <t>https://www.infolibre.es/noticias/politica/2018/11/22/ortuzar_no_cierra_puerta_los_presupuestos_si_sanchez_crea_condiciones_para_hablar_con_los_catalanes_pnv_estar_89101_1012.html</t>
  </si>
  <si>
    <t>malvarrosa-valencia-marzo-2015</t>
  </si>
  <si>
    <t>Dos ministros están en la picota: Pedro Duque -a cuenta de una Sociedad para escaquear tributos- y la ministra de…</t>
  </si>
  <si>
    <t>http://wp.me/p76pmQ-r7</t>
  </si>
  <si>
    <t>http://bit.ly/2qYLpbV</t>
  </si>
  <si>
    <t>queregua65@gmail.com</t>
  </si>
  <si>
    <t>Mosca Españoles y Canarios, Pedro Sanchez en Cuba, les aseguro no traerá beneficios a España</t>
  </si>
  <si>
    <t>J</t>
  </si>
  <si>
    <t>Presupuestos 'fake' de un Presidente 'fake'. Para Bruselas haga lo que haga Pedro Sánchez nos vamos todos a la ruina, pero eso sí, él lo hará montado en su Falcon.  vía @elmundoes</t>
  </si>
  <si>
    <t>Gotham</t>
  </si>
  <si>
    <t>Gatos y política.</t>
  </si>
  <si>
    <t>Que cuba le espera al presidente f del gobierno , Pedro Sánchez, en d su primera visita al País caribeño. Unas claves de sagrario Garcia - Mascarcaj ke y @lap_ trtve RT @24h_tve: Qué Cuba le espera al presidente del Gobierno, Pedro Sánchez, en su primera visita oficial al país caribeño. Unas claves de Sagrario García-Mascaraque y @lab_rtvees</t>
  </si>
  <si>
    <t>https://twitter.com/24h_tve/status/1065560876021948416</t>
  </si>
  <si>
    <t>https://pbs.twimg.com/media/Dsmh58OWoAEuyjQ.jpg</t>
  </si>
  <si>
    <t>il gatopando</t>
  </si>
  <si>
    <t>Clarividente OPINIÓN | Cómo y por qué Pedro Sánchez ha estropeado su experimento, por Carlos Elordi  vía @eldiarioes</t>
  </si>
  <si>
    <t>Bilbao pre-Guggenheim y otros</t>
  </si>
  <si>
    <t>francotuiteador</t>
  </si>
  <si>
    <t>http://queraroestodo.blogspot.com</t>
  </si>
  <si>
    <t>Rafael Pinto</t>
  </si>
  <si>
    <t>ÜT: 10.453345,-66.857391</t>
  </si>
  <si>
    <t>Periodista del mundo de la peluquería y belleza</t>
  </si>
  <si>
    <t>http://rpintopressfashion.wordpress.com</t>
  </si>
  <si>
    <t>Harry Fowles</t>
  </si>
  <si>
    <t>Esta medida la respaldan todos lo grupos. Es inadmisible. ¿Pero qué hace la prensa manipuladora de derechas? Poner bien visible a Pedro Sánchez en una imagen. Pero no, no hay manipulación...</t>
  </si>
  <si>
    <t>https://pbs.twimg.com/media/DsmxUWDWwAAxy4a.jpg</t>
  </si>
  <si>
    <t>País Llionés 🦁</t>
  </si>
  <si>
    <t>Soberanismu llionés ✊. Xeógrafu 🌍. Banda esquierda. Sit tibi terra levis.</t>
  </si>
  <si>
    <t>https://okdiario.com/espana/2018/11/21/pedro-sanchez-no-reunira-oposicion-viaje-cuba-3377734/amp</t>
  </si>
  <si>
    <t>Después de pedir el ojo de halcón Pedro Sánchez confirma que no hubo escupitajo</t>
  </si>
  <si>
    <t>https://pbs.twimg.com/media/DsmxGoMWkAA4y3P.jpg</t>
  </si>
  <si>
    <t>Tuiteo Maracaibo</t>
  </si>
  <si>
    <t>http://bit.ly/2qZfV5u</t>
  </si>
  <si>
    <t>@TuiteoMaracaibo disponible para reportar InfoCiudad las 24 horas via Menciones ¡Síguenos! Tierra del s☼l Amada @GrupoTuiteo</t>
  </si>
  <si>
    <t>https://www.facebook.com/pages/Tuiteo-Maracaibo/614177861982292?ref=hl</t>
  </si>
  <si>
    <t>Primer encuentro entre Pedro Sánchez y Ángel Garrido. El presidente regional ha pedido la eliminación del tope de competitividad para que la @ComunidadMadrid pueda ingresar entre 500 y 600 millones.</t>
  </si>
  <si>
    <t>https://www.madridiario.es/462428/garrido-puerta-moncloa-autonomia-600-millones</t>
  </si>
  <si>
    <t>NAT</t>
  </si>
  <si>
    <t>he soñado con los 5sos y con Mariano Rajoy y Pedro Sánchez, creo que me ha dado fiebre esta noche</t>
  </si>
  <si>
    <t>MEET YOU THERE @5SOS ❤</t>
  </si>
  <si>
    <t>Mediodía COPE</t>
  </si>
  <si>
    <t>Pedro Sánchez visita Cuba, cuatro años después de su "apertura" ¿Cómo de real ha sido la apertura del país? ¿Ha cambiado algo?. 📻 Escucha en directo aquí:</t>
  </si>
  <si>
    <t>https://buff.ly/2MGS5Jh</t>
  </si>
  <si>
    <t>https://pbs.twimg.com/media/DsmwE9VXgAAg957.jpg</t>
  </si>
  <si>
    <t>Twitter oficial del programa Mediodía @cope con @herraizayuso y @MartaRuizBlaz. De lunes a viernes de 13h a 15h.</t>
  </si>
  <si>
    <t>http://www.cope.es/menu/programas/mediodia-cope/inicio</t>
  </si>
  <si>
    <t>#QuéBarbariá Pedro Sánchez mandó su coche oficial vacío a Valladolid para hacer los 8 kms del aeropuerto a la ciudad</t>
  </si>
  <si>
    <t>https://okdiario.com/espana/2018/11/21/sanchez-mando-coche-oficial-vacio-valladolid-hacer-8-kms-del-aeropuerto-ciudad-3377374#.W_aa5j4ENiA.twitter</t>
  </si>
  <si>
    <t>P.C.J.GR</t>
  </si>
  <si>
    <t>Menos mal que Dios nos mando a Pedro Sanchez para solucionar los verdaderos problemas de España: -Hablar de los restos de Franco -Organizar Muniales de futbol -Ceder a las peticiones Independentistas -Lenguaje Inclusivo -Mover el Falcon, que no se aperre -Desfiles de ministros.</t>
  </si>
  <si>
    <t>pic.twitter.com/dTq8oTrVOg</t>
  </si>
  <si>
    <t>Sergio 🇪🇸🇪🇺 Galicia Madrid Tabarnia</t>
  </si>
  <si>
    <t>Coleccionando sellos de pasaporte antes de que le echen...Pedro Sánchez inicia una visita a Cuba sin citas con la disidencia  vía @elpais_espana</t>
  </si>
  <si>
    <t>España. Galicia</t>
  </si>
  <si>
    <t>Idiomas para comunicar. No para diferenciar. Políticamente Liberal. Occidentalista desde las Rías Bajas. Y felizmente casado.</t>
  </si>
  <si>
    <t>El ogro cabreado</t>
  </si>
  <si>
    <t>"El FMI pide a España medidas fiscales CREIBLES y una reforma de las pensiones" Me imagino a Pedro Sanchez leyendo esto con ojos en blanco y... ----Error operative system. AAFFBCC7623 error en partition table --- Core Dumped</t>
  </si>
  <si>
    <t>Bajo las nubes.</t>
  </si>
  <si>
    <t>Nacido de mi madre e interesado por la lectura, la política, mis hijos, mi mujer y los juegos de ordenador; no necesariamente en ese orden.</t>
  </si>
  <si>
    <t>http://elcubildelogro.blogspot.com</t>
  </si>
  <si>
    <t>FormulaTV</t>
  </si>
  <si>
    <t>Pedro Sánchez ensalza las series españolas: '#LaCasaDePapel, #ElPríncipe y #Fariña nos dan prestigio'</t>
  </si>
  <si>
    <t>https://frml.tv/86205</t>
  </si>
  <si>
    <t>https://pbs.twimg.com/media/DsmvnK_WsAEKQ58.jpg</t>
  </si>
  <si>
    <t>El Twitter oficial de Formula TV, el portal líder de televisión en español. Todo sobre series y programas en nuestro Twitter.</t>
  </si>
  <si>
    <t>http://www.formulatv.com</t>
  </si>
  <si>
    <t>Sin cita con la disidencia</t>
  </si>
  <si>
    <t>El Gobierno de Pedro Sánchez nombró en junio abogada general del Estado a Consuelo Castro Rey, cuya trayectoria había resultado especialmente polémica durante su etapa como responsable de la institución de Galicia.</t>
  </si>
  <si>
    <t>Jesus Broceño</t>
  </si>
  <si>
    <t>Es que éste no era el Pedro Sánchez presidente del gobierno... RT @5observador90: ● Todavia recuerdo aquella asamblea en la cual, Sánchez se presentó como: - "Un hijo y padre de clase media y trabajadora" que está dispuesto a "erradicar los privilegios de la clase política". #Lasilenciosacat ● Lo dicho, DISPUESTO. Pero hoy no..., mañanaaaaaa 👇</t>
  </si>
  <si>
    <t>Puertollano</t>
  </si>
  <si>
    <t>¡Oferta en tatuajes,el 2X3 ya está aquí!Hazte 2,paga 3...</t>
  </si>
  <si>
    <t>torre_vox</t>
  </si>
  <si>
    <t>VÍDEO: Pedro Sánchez exige a Rufián y a Casado que pidan disculpas por sus insultos en el Parlamento</t>
  </si>
  <si>
    <t>https://ift.tt/2zlwTQ9</t>
  </si>
  <si>
    <t>Jesuspedreira</t>
  </si>
  <si>
    <t>CASADO CRITICA LA VISITA DEL PRESIDENTE PEDRO SANCHEZ A CUBA!! CINISMO O HIPOCRESÍA?? SALVO DECLARE QUE CONDENE Y RENIEGUE A FRAGA Y AZNAR !!</t>
  </si>
  <si>
    <t>https://pbs.twimg.com/media/DsmtWCrX4AE3Aa7.jpg</t>
  </si>
  <si>
    <t>Ordes . A Coruña . España</t>
  </si>
  <si>
    <t>📢 @angelgarridog se ha reunido con Pedro Sánchez para defender los intereses de los madrileños. Nuestra región se merece un sistema de financiación justo y equilibrado. #GarridoMoncloa</t>
  </si>
  <si>
    <t>https://pbs.twimg.com/media/DsmtF59WwAE8sYU.jpg</t>
  </si>
  <si>
    <t>NBuenas tardes España una nación desde Huelkva un cordial saludo. bronca monumental en el Congreso un diputado de ERC escupe a Borrell tras ser expulsado Rufían " Pedro Sánchez está pasando a la Historia como "PEDRO EL CONSEGUIDOR": RT @EspanaUnaNacion: "Bronca monumental en el Congreso: un diputado de ERC escupe a Borrell tras ser expulsado Rufián" Pedro Sánchez está pasando a la Historia como "PEDRO EL CONSENTIDOR". 🇪🇸#España #EspañaUnaNación</t>
  </si>
  <si>
    <t>https://twitter.com/EspanaUnaNacion/status/1065569603953278976
https://okdiario.com/espana/2018/11/21/diputado-erc-escupe-ministro-borrell-ser-expulsado-rufian-del-hemiciclo-3374692?utm_source=onesignal&amp;utm_medium=notificacion</t>
  </si>
  <si>
    <t>https://www.elconfidencial.com/espana/2018-11-21/pedro-sanchez-viaje-cuba-empresarios-sociedad-cubana-disidencia_1658610/</t>
  </si>
  <si>
    <t>Pedro Sánchez viaja a #Cuba: es el primer viaje oficial de un presidente a la isla en 32 años, y hay polémica...</t>
  </si>
  <si>
    <t>https://bit.ly/2QYwDxb</t>
  </si>
  <si>
    <t>Pedro Sánchez llega hoy a Cuba después de 32 años de vacío del Gobierno español. Evitará la cita con la disidencia para priorizar los intereses empresariales. En @larazon_es desde La Habana</t>
  </si>
  <si>
    <t>Antonio Novo 🇪🇸</t>
  </si>
  <si>
    <t>Ahora vas de bueno, serás falso. Sánchez se pliega a la dictadura castrista: no se reunirá con la oposición en su viaje a Cuba</t>
  </si>
  <si>
    <t>https://okdiario.com/espana/2018/11/21/pedro-sanchez-no-reunira-oposicion-viaje-cuba-3377734#.W_aWSIhncWQ.twitter</t>
  </si>
  <si>
    <t xml:space="preserve">Jerez de la Frontera. Ferrol. </t>
  </si>
  <si>
    <t>Nací en San Fernando (Cádiz). Enfermero de Urgencias. Español hasta la médula🇪🇸. Deseo para mi país que tenga lo que no tiene, una Democracia Real. METALERO.</t>
  </si>
  <si>
    <t>http://www.novomedinilla.com/?m=1</t>
  </si>
  <si>
    <t>Isabel Romero Viedma</t>
  </si>
  <si>
    <t>https://okdiario.com/espana/2018/11/21/sanchez-mando-coche-oficial-vacio-valladolid-hacer-8-kms-del-aeropuerto-ciudad-3377374#.W_aWJruBJxQ.twitter</t>
  </si>
  <si>
    <t>granada</t>
  </si>
  <si>
    <t>joaquin galiano cara</t>
  </si>
  <si>
    <t>Él PP nunca a sabido tener Sentido de Estado, cada vez que estan en la oposición,Ni Rajoy en la legislatura de Zapatero,Ni Casado con Pedro Sánchez,contaminan todo lo que tocan, Los ahijados de Aznar 🍊 y P.Casado</t>
  </si>
  <si>
    <t>https://www.facebook.com/1572394793/posts/10212657629906976/</t>
  </si>
  <si>
    <t>en la mejo ANDALUCIA</t>
  </si>
  <si>
    <t>InformadorVeraz</t>
  </si>
  <si>
    <t>Jefe del gobierno español a Cuba, un viaje inédito en 32 años. Es la primera vez desde 1986. Pedro Sánchez llega este jueves a Cuba para una visita oficial de dos días, marcada por la voluntad de reforzar los lazos diplomáticos y económicos con la isla</t>
  </si>
  <si>
    <t>https://www.lanacion.com.py/mundo/2018/11/22/jefe-del-gobierno-espanol-a-cuba-un-viaje-inedito-en-32-anos/</t>
  </si>
  <si>
    <t>https://pbs.twimg.com/media/DsmrEYGWwAA-kWh.jpg</t>
  </si>
  <si>
    <t>Sigan tambien @VerazInformador</t>
  </si>
  <si>
    <t>Descubriendo y desenmascarando a los chavistas revolucionarios rojitos MILITANTES DEL PSUV y vende patria. Si eres chavista y me sigues, asume tu MASOQUISMO!</t>
  </si>
  <si>
    <t>Erwin sureny</t>
  </si>
  <si>
    <t>Pedro Sánchez: a partir de ahora es ilegal taparse la boca haciendo un dab cuando estornudas Yo: *me voy a la cárcel*</t>
  </si>
  <si>
    <t>El Paraíso, Europa</t>
  </si>
  <si>
    <t>Comando peña. « Tú eres de esos cabrones estoicos que quieren progresar. »</t>
  </si>
  <si>
    <t>@hechosdehoy</t>
  </si>
  <si>
    <t>El artículo 184</t>
  </si>
  <si>
    <t>http://ow.ly/26gZ30mIiJe</t>
  </si>
  <si>
    <t>INFORMACIÓN DE VALOR Y ANÁLISIS. Periódico digital dirigido por Juan-Fernando Dorrego Tíktin @juanfernandodt</t>
  </si>
  <si>
    <t>Froilán I de España</t>
  </si>
  <si>
    <t>Pedro Sánchez se va a Cuba. Antes de que termine 2018, viajará también a Islandia, Argentina, Polonia, Portugal, otra vez Marruecos, Bélgica y Austria. Desde junio ha viajado a Alemania, Costa Rica, Chile, Bolivia, Colombia, Canadá, Portugal, Bélgica, Francia, Canadá y USA.</t>
  </si>
  <si>
    <t>https://pbs.twimg.com/media/DsmpfACXcAASLBI.jpg</t>
  </si>
  <si>
    <t>La mano dura de la monarquía. En el juego de tronos de España, sólo se puede ser Froilán o morir. Parodia. ¿no? froilancitorey@gmail.com</t>
  </si>
  <si>
    <t>https://eltronodefroilan.wordpress.com/</t>
  </si>
  <si>
    <t>Gorman Freeman 🇪🇸</t>
  </si>
  <si>
    <t>Pepasemos la biografía del golpista. Tenemos como presidente a un vil mercenario. Coleccionista de trofeos... "Pedro Sánchez Pérez-Castejón nació en Madrid, el mayor de dos hermanos, en una familia acomodada, con residencia en la calle del Comandante Zorita,</t>
  </si>
  <si>
    <t>La Finca</t>
  </si>
  <si>
    <t>Si no te gusta España ya sabes dónde está la puerta. Cierra por fuera al salir. Bloqueo a Indepes y demás miserias.</t>
  </si>
  <si>
    <t>Angelika Knüppel</t>
  </si>
  <si>
    <t>Pasión por el periodismo y la actualidad. Viajar, leer, conocer más de un mundo sin fronteras. Trabajo en http://www.hechosdehoy.com</t>
  </si>
  <si>
    <t>Pedro Sánchez exige a Rufián y a Casado que pidan disculpas por la crispación en el Parlamento</t>
  </si>
  <si>
    <t>https://ift.tt/2OYQVVT</t>
  </si>
  <si>
    <t>http://bit.ly/2FCXhdS</t>
  </si>
  <si>
    <t>graduadosocialacant</t>
  </si>
  <si>
    <t>#Bruselas desmonta punto por punto el #Presupuesto de Pedro Sánchez</t>
  </si>
  <si>
    <t>El Excmo. Colegio Oficial de Graduados Sociales de Alicante, Corporación de Derecho Público, tiene expertos profesionales que ofrecen su asesoramiento.</t>
  </si>
  <si>
    <t>http://www.consultor.com</t>
  </si>
  <si>
    <t>El Mentalista 🇪🇸</t>
  </si>
  <si>
    <t>Los socialistas de Pedro Sánchez son MISERABLES hasta más no poder.</t>
  </si>
  <si>
    <t>¡Viva España!</t>
  </si>
  <si>
    <t>🇪🇸España solo una e indivisible🇪🇸</t>
  </si>
  <si>
    <t>Corrupción España</t>
  </si>
  <si>
    <t>JAJAJAJA...LAMENTABLE EL COMPORTAMIENTO DE LOS CRIMINALES SEPARATISTAS CATALANES CON RUFIÁN A LA CABEZA. EL SOCIATA PEDRO SÁNCHEZ ADMITE TODO CON TAL DE ESTAR UN DÍA MÁS EN EL PODER...CAERÁ CON TOTAL DESPRECIO Y COMO MENTIROSO Y TRIDOR. LOS AUTÉNTICOS SOCIALISTAS LO DESPRECIAN.</t>
  </si>
  <si>
    <t>España Una Nación</t>
  </si>
  <si>
    <t>"Bronca monumental en el Congreso: un diputado de ERC escupe a Borrell tras ser expulsado Rufián" Pedro Sánchez está pasando a la Historia como "PEDRO EL CONSENTIDOR". 🇪🇸#España #EspañaUnaNación</t>
  </si>
  <si>
    <t>https://okdiario.com/espana/2018/11/21/diputado-erc-escupe-ministro-borrell-ser-expulsado-rufian-del-hemiciclo-3374692?utm_source=onesignal&amp;utm_medium=notificacion</t>
  </si>
  <si>
    <t>Movimiento por una España unida y fuerte en Europa. 🇪🇸🇪🇺 #EspañaUnaNacion</t>
  </si>
  <si>
    <t>https://facebook.com/EspanaUnaNacion</t>
  </si>
  <si>
    <t>Gran preocupación por el anteproyecto de ley para el cambio climático de Pedro Sánchez y su ministra de Transición Ecológica. Dejarán #Asturias limpia, pero de gente, iniciativas y empleos. Pediremos que comparezca el Consejero de Industria, incluso el presidente del Principado</t>
  </si>
  <si>
    <t>❌ Malas noticias para el Gobierno de Pedro Sánchez. La Comisión Europea y Reino Unido han pactado una declaración política que no mencion a Gibraltar</t>
  </si>
  <si>
    <t>https://www.elindependiente.com/politica/2018/11/22/la-ue-y-reino-unido-ignora-a-espana-y-pactan-una-declaracion-sobre-el-brexit-que-no-menciona-a-gibraltar/?utm_source=share_buttons&amp;utm_medium=twitter&amp;utm_campaign=social_share2</t>
  </si>
  <si>
    <t>Lua</t>
  </si>
  <si>
    <t>A Pedro Sánchez el de cs le hizo una buena jugada ,le enchufo a Borrell pasando lo por psoe .</t>
  </si>
  <si>
    <t>El signo de la inteligencia,es la serenidad constante.</t>
  </si>
  <si>
    <t>Diario La Nación</t>
  </si>
  <si>
    <t>Es la primera vez desde 1986: el jefe del gobierno español, Pedro Sánchez, llega este jueves a Cuba para reforzar los lazos diplomáticos y económicos con la isla.🇪🇸🤝🇨🇺</t>
  </si>
  <si>
    <t>https://bit.ly/2BqqeG4</t>
  </si>
  <si>
    <t>Paraguay</t>
  </si>
  <si>
    <t>Desde hace más de 20 años, proporcionando información, análisis y opinión.</t>
  </si>
  <si>
    <t>http://www.lanacion.com.py</t>
  </si>
  <si>
    <t>Pilar ABALORIOS</t>
  </si>
  <si>
    <t>Leo este artículo de @LuisAneiros y no puedo evitar pensar que apoyar posturas tibias con los DDHH y básicamente liberales en lo económico no es la solución para empujar el cambio preciso.  vía @nuevarevoluci0n</t>
  </si>
  <si>
    <t>Zaragoza, España</t>
  </si>
  <si>
    <t>...en la calle, codo a codo, somos mucho más que dos. (M.Benedetti)</t>
  </si>
  <si>
    <t>Jesús Ortega</t>
  </si>
  <si>
    <t>Los independentistas han pedido a Pedro Sánchez la cabeza de Josep Borrell</t>
  </si>
  <si>
    <t>https://bit.ly/2R2oJmz</t>
  </si>
  <si>
    <t>https://pbs.twimg.com/media/DsmpPaxW0AAg-Y3.jpg</t>
  </si>
  <si>
    <t>Periodista. Aprovecho mi cuenta en Twitter para compartir las noticias que escribo en El Confidencial Digital y también comentar los temas de actualidad</t>
  </si>
  <si>
    <t>Maria J</t>
  </si>
  <si>
    <t>https://okdiario.com/opinion/2018/09/15/mentiroso-chulo-jeta-plagiario-mediocre-censor-3117399#.W_aNaBFy1SA.facebook</t>
  </si>
  <si>
    <t>Santander, Cantabria</t>
  </si>
  <si>
    <t>Este es el momento penoso que vivió Pedro Sánchez al saludar al primer ministro portugués  vía @Periodistadigit</t>
  </si>
  <si>
    <t>http://www.periodistadigital.tv/este-es-el-momento-penoso-que-vivio-pedro-sanchez-al-saludar-al-primer-ministro-portugues_edf51e3eb.html</t>
  </si>
  <si>
    <t>El presidente popular acusa a Pedro Sánchez de filtrar el nombre de Marchena para dinamitar su candidatura y no cree que Cosidó escribiera el mensaje que se ha utilizado contra el PP.</t>
  </si>
  <si>
    <t>ESPAÑOL, Maño, aragonés y europeo.</t>
  </si>
  <si>
    <t>Es un mentiroso compulsivo</t>
  </si>
  <si>
    <t>https://okdiario.com/deportes/futbol/2018/11/20/portugal-deja-mentiroso-pedro-sanchez-mundial-inventado-3372638</t>
  </si>
  <si>
    <t>SIEMPRE RCDE</t>
  </si>
  <si>
    <t>Vuestros coches son una mierda que consumen mogollón. No como el avión de Pedro Sánchez.</t>
  </si>
  <si>
    <t>Socio del Real Club Deportivo Español de Barcelona. Separatas NO, gracias.</t>
  </si>
  <si>
    <t>Jaume Mestre</t>
  </si>
  <si>
    <t>Parecéis testigos de Jehová @raulmorenom con el gobierno de Pedro Sánchez. El Parlament no está para que hagáis spam con el humo de su gobierno.</t>
  </si>
  <si>
    <t>Me cansan los dogmáticos, los intransigentes, los maximalistas, los poseedores de la verdad.</t>
  </si>
  <si>
    <t>Alberto Fernández</t>
  </si>
  <si>
    <t>Brexit/Gibraltar: Juncker habló por teléfono con Pedro Sánchez el martes y tb animó a May a hablar con él. No hay referencia a Gibraltar en el texto de la declaración política para relaciones futuras. "La cuestión de Gibraltar aun debe ser resulta" afirma portavoz comunitario.</t>
  </si>
  <si>
    <t>Periodista. Nacido y criado en Bruselas a donde volví para ser corresponsal. La Sexta, Deutsche Welle, Cope... Socio abonado del Club Atlético de Madrid.</t>
  </si>
  <si>
    <t>Rosa Maria</t>
  </si>
  <si>
    <t>madre...</t>
  </si>
  <si>
    <t>El artículo 184  vía @HechosdeHoy</t>
  </si>
  <si>
    <t>https://www.hechosdehoy.com/theresa-may-y-pedro-sanchez-larga-llamada-sobre-gibraltar-70270.htm</t>
  </si>
  <si>
    <t>Bruselas pone un suspenso a los Presupuestos de Pedro Sánchez -</t>
  </si>
  <si>
    <t>http://tinyurl.com/yasuglyh
https://www.elespanol.com/espana/politica/20181121/bruselas-pone-suspenso-presupuestos-pedro-sanchez/354964807_0.html</t>
  </si>
  <si>
    <t>El cinismo de @socialistes_cat que van al Parlament básicamente a hacer publicidad del gobierno de Pedro Sánchez.</t>
  </si>
  <si>
    <t>Pedro Sánchez visita hoy Cuba: claves de este viaje histórico ➨</t>
  </si>
  <si>
    <t>http://bit.ly/2qYIbFl</t>
  </si>
  <si>
    <t>https://pbs.twimg.com/media/Dsmm-GpWkAEVLtp.jpg</t>
  </si>
  <si>
    <t>Maria Rosa</t>
  </si>
  <si>
    <t>Este es el momento penoso que vivió Pedro Sánchez al saludar al primer ministro portugués  vía @Periodistadigit. Este tío es la vergüenza de Europa.</t>
  </si>
  <si>
    <t>Miami EEUU.</t>
  </si>
  <si>
    <t>Comprometida con mi pais España, odio las injusticas amo a los animales, detesto la mentira y el engaño.</t>
  </si>
  <si>
    <t>Pirámide 5 Noticias</t>
  </si>
  <si>
    <t>Theresa May conversa con Pedro Sánchez del acuerdo del “brexit”</t>
  </si>
  <si>
    <t>https://piramide5n.wordpress.com/2018/11/22/theresa-may-conversa-con-pedro-sanchez-del-acuerdo-del-brexit/</t>
  </si>
  <si>
    <t>https://pbs.twimg.com/media/DsmmnX2U8AADA65.jpg</t>
  </si>
  <si>
    <t>Tu nuevo blog informativo https://piramide5n.wordpress.com/</t>
  </si>
  <si>
    <t>https://piramide5n.wordpress.com/</t>
  </si>
  <si>
    <t>Los de arriba son los que apoyan el PP y Cs y los de abajo están defendidos por Pedro Sanchez ¿Quien ganará? Pedroooooooo</t>
  </si>
  <si>
    <t>https://pbs.twimg.com/media/DsmmbE5X4AASBva.jpg</t>
  </si>
  <si>
    <t>Gerónimo Valles</t>
  </si>
  <si>
    <t>El presidente del Gobierno, Pedro Sánchez, viaja este jueves a Cuba en la primera visita oficial que realiza al país caribeño un gobernante de España en más de tres décadas.</t>
  </si>
  <si>
    <t>Edo SUCRE-VENEZUELA</t>
  </si>
  <si>
    <t>PROFESOR, SOLDADO REVOLUCIONARIO, BOLIVARIANO Y RADICALMENTE CHAVISTA. IRREVERENCIA EN LA DISCUSIÓN LEALTAD EN LA ACCIÓN! UNIDOS VENCEREMOS. CHÁVEZ VIVE!</t>
  </si>
  <si>
    <t>yamilkar</t>
  </si>
  <si>
    <t>https://okdiario.com/espana/2018/11/21/pedro-sanchez-no-reunira-oposicion-viaje-cuba-3377734#.W_aQ7gYk_rY.twitter</t>
  </si>
  <si>
    <t>GNR 🇪🇸</t>
  </si>
  <si>
    <t>https://okdiario.com/espana/2018/11/21/sanchez-mando-coche-oficial-vacio-valladolid-hacer-8-kms-del-aeropuerto-ciudad-3377374#.W_aQ6l_xOud.twitter</t>
  </si>
  <si>
    <t>Castilla - España - Europa</t>
  </si>
  <si>
    <t>¡Pueblo, levántate y haz que la tormenta se desate! #HalaMadrid #DefendEurope</t>
  </si>
  <si>
    <t>Le estaba cayendo una pitada de las que hacen época, pero él saca pecho ante todo... 😂😂</t>
  </si>
  <si>
    <t>#SantaCecilia: Por favor, un día de paz y música.  vía @HechosdeHoy</t>
  </si>
  <si>
    <t>#FelizJueves: La larga llamada de Valladolid al 10 de Downing Street.  vía @HechosdeHoy</t>
  </si>
  <si>
    <t>Ojiplatica ➰➰➰➰➰➰➰➰</t>
  </si>
  <si>
    <t>Admirando a Tabarnia. NO QUIERO DESANIMAROS PERO NO TENEMOS REMEDIO.Resulta que soy FACHA.</t>
  </si>
  <si>
    <t>#AhoraSíqueSí: El momento de un acuerdo definitivo para Gibraltar.  vía @HechosdeHoy</t>
  </si>
  <si>
    <t>Tomás F. Terrados 🇪🇸</t>
  </si>
  <si>
    <t>#ParaQuéSirveLaMonarquía entre otras cosas para evitar mantener un Pedro Sánchez o un Pablo Iglesias nuevo, de por vida, cada cuatro años..</t>
  </si>
  <si>
    <t>Pa'yá pa' buscar un prunus...</t>
  </si>
  <si>
    <t>liberal, Chowchero, Gestor Náutico y Julista..El nazismo y el comunismo son indefendibles. en esa edad en la que le vas a ir a vacilar a tu p..a madre #LET</t>
  </si>
  <si>
    <t>SEÑOR PAGE NO MIENTA ANTES DE LA COMISION DE CENSURA SU JEFE EL DICTADOR PEDRO SANCHEZ YA AVIA PACTADO CON LOS GOLPISTAS CON LA BANDA CRIMINAL ETARRA Y CON LOS TRAIDORES LOS CERDOS DEL PNV QUE VENDIERON ESPAÑA PARA PODER ACERCAR A UNA BANDA DE ASESINOS</t>
  </si>
  <si>
    <t>Socrates Safo</t>
  </si>
  <si>
    <t>Durísimo artículo en el medio alemán Telepolis News contra la justicia española y contra el gobierno de Pedro Sánchez Por @ralf_streck 👇👇👇  Reenviado de  #ParaQuéSirveLaMonarquía Un escándalo judicial tras otro sale a la luz</t>
  </si>
  <si>
    <t>https://www.heise.de/tp/news/Warum-Richter-und-Staatsanwaelte-auch-fuer-unabhaengige-Justiz-streiken-4227203.html
http://canalrepublica.cat</t>
  </si>
  <si>
    <t>Me gusta la buena literatura, la música clásica y la montaña.</t>
  </si>
  <si>
    <t>IL Trovatore</t>
  </si>
  <si>
    <t>La que se va a liar cuando Pedro Sánchez se entere de que le han dado una estrella a Pedro Sánchez</t>
  </si>
  <si>
    <t>Tabernario, arrogante, gusta de componer cantigas de escarnio e maldizer.</t>
  </si>
  <si>
    <t>Guillermo.Vizu.</t>
  </si>
  <si>
    <t>Pedro Sánchez es a la política lo que un ludopata a un casino, nunca gana pero no lo puede dejar.</t>
  </si>
  <si>
    <t>Empresario, abogado y Aristócrata. Amante de las buenas costumbres y las cosas bien hechas. Sou livre se gosco de ser livre. I have livet a lot.</t>
  </si>
  <si>
    <t>Brexit y Gibraltar: Sánchez habló con May @lavanguardia</t>
  </si>
  <si>
    <t>http://shr.gs/KRaqNFR</t>
  </si>
  <si>
    <t>Dante Barrera</t>
  </si>
  <si>
    <t>Theresa May y Pedro Sánchez discutieron por teléfono sobre el 'Brexit' y Gibraltar</t>
  </si>
  <si>
    <t>https://ift.tt/2qYjDMR</t>
  </si>
  <si>
    <t>https://pbs.twimg.com/media/Dsmkyh3WwAExOIw.jpg</t>
  </si>
  <si>
    <t>Es Director y Creador de la página web http://ahoradigital.net, http://famanews.net y http://tecnomano.net</t>
  </si>
  <si>
    <t>http://ahoradigital.net/</t>
  </si>
  <si>
    <t>El Mundo Baleares</t>
  </si>
  <si>
    <t>Pedro Sánchez y los presuntos tontos. Por Joan Mesquida Sampol.</t>
  </si>
  <si>
    <t>https://www.elmundo.es/baleares/2018/11/22/5bf68ee2468aeb326f8b45e5.html</t>
  </si>
  <si>
    <t>Perfil de EL MUNDO en Baleares. Foto: Cepillos usados en la limpieza de Sant Llorenç. Foto: A. Vera. Facebook: https://www.facebook.com/elmundobaleares/</t>
  </si>
  <si>
    <t>http://www.elmundo.es/baleares.html</t>
  </si>
  <si>
    <t>Pedro Sánchez verá en Cuba a periodistas independientes y empresarios, pero no a grupos opositores.</t>
  </si>
  <si>
    <t>https://www.ondacero.es/noticias/espana/pedro-sanchez-vera-cuba-periodistas-independientes-empresarios-pero-grupos-opositores_201811215bf5acac0cf21fd497139e9c.html</t>
  </si>
  <si>
    <t>https://pbs.twimg.com/media/DsmkdCVXgAYWnjl.jpg</t>
  </si>
  <si>
    <t>Pernath I 🇪🇸</t>
  </si>
  <si>
    <t>Yo creo que si exigen follarse a su mujer el okupa traga. Pedro Sánchez tiene sobre la mesa la petición de los independentistas de cesar a Borrell  vía @ecd_</t>
  </si>
  <si>
    <t>España no se merece a los políticos que se merece.🇪🇸 El socialismo te lo metes por el orto 👉👌</t>
  </si>
  <si>
    <t>Nieves B Jiménez</t>
  </si>
  <si>
    <t>Albert Rivera on fire en el Congreso. Critica a Ana Pastor, "hacer equidistancia entre los que defendemos la democracia" y los que "han dado un golpe de estado". Respecto a Pedro Sánchez: "Una cosa es no tener límites y otra cosa es no tener moral".</t>
  </si>
  <si>
    <t>MAD/MU</t>
  </si>
  <si>
    <t>Periodista | Columnista en La Verdad y La Gaceta | Líbero | Jot Down | esRadio Cultura | Elle Comunicación M.</t>
  </si>
  <si>
    <t>https://www.jotdown.es/2018/02/murcia-una-escena-teatral-con-denominacion-de-origen/</t>
  </si>
  <si>
    <t>Es el mejor valedor del golpista.</t>
  </si>
  <si>
    <t>https://www.elconfidencial.com/espana/cataluna/2018-11-21/erc-pide-pedro-sanchez-evite-elecciones_1658806/?utm_source=facebook&amp;utm_medium=social&amp;utm_campaign=ECDiarioManual</t>
  </si>
  <si>
    <t>ZAFARRANCHO PARA IVAN Pedro Sánchez, citando a Manuel Azaña, ha dicho que parece que has resuelto un problema y tienes otros veinte so... -</t>
  </si>
  <si>
    <t>https://www.cosasdeunabailarina.es/zafarrancho-para-ivan/</t>
  </si>
  <si>
    <t>https://pbs.twimg.com/media/Dsmjxr9X4AARG23.jpg</t>
  </si>
  <si>
    <t>https://okdiario.com/espana/2018/11/20/sanchez-gasta-cerca-millon-euros-poner-punto-luz-calefaccion-moncloa-3372360#.W_aORoPseqh.twitter</t>
  </si>
  <si>
    <t>Integración de Países Hispanos</t>
  </si>
  <si>
    <t>https://elpais.com/politica/2018/11/21/actualidad/1542810485_448113.html?id_externo_rsoc=FB_CC</t>
  </si>
  <si>
    <t>Trabajamos para conseguir la máxima comunicación e integración entre los ciudadanos e instituciones de Países Hispanos</t>
  </si>
  <si>
    <t>Rafael Borges Vargas</t>
  </si>
  <si>
    <t>Pedro Sánchez asegura que España necesita el coche eléctrico para seguir exportando  #EFEVerde</t>
  </si>
  <si>
    <t>http://bit.ly/2Qcq1y5</t>
  </si>
  <si>
    <t>Coro - Venezuela</t>
  </si>
  <si>
    <t>Coriano de pura cepa...! / Ingeniero de Telecomunicaciones / amante de la Fotografía y aficionado a la Meteorología / Foto: Meachiche - Falcón</t>
  </si>
  <si>
    <t>http://fotografiadesdefalcon.blogspot.com/</t>
  </si>
  <si>
    <t>El Censelio</t>
  </si>
  <si>
    <t>El Brexit chica con el Peñón: Sánchez habló con May sobre Gibraltar y el Brexit</t>
  </si>
  <si>
    <t>https://www.lavanguardia.com/politica/20181122/453091224023/pedro-sanchez-theresa-may-gibraltar-brexit.html</t>
  </si>
  <si>
    <t>La Tatitudería®. Sufro de tatitud crónica y bebo té de manzanilla. Frente Revolucionario Internacional Preferimo el Otoño, FRIPO. 🧐</t>
  </si>
  <si>
    <t>Felipe</t>
  </si>
  <si>
    <t>Cuándo ponéis el fraude de la tesis de Pedro Sánchez? RT @laSextaTV: .@telovasacomer analizó en el programa de anoche el fraude del pescado. Puedes volver a verlo en @Atresplayer @albertochicote ⬇</t>
  </si>
  <si>
    <t>https://twitter.com/laSextaTV/status/1065552972845903872
http://atres.red/irhrf6</t>
  </si>
  <si>
    <t>SIMPLEMENTE ESPAÑOL!!</t>
  </si>
  <si>
    <t>Paulo Mariante</t>
  </si>
  <si>
    <t>El Gobierno del PP nacionalizó Bankia con el dinero de todos los españoles. ¿Qué sentido tiene privatizarla ahora que la hemos saneado? Lo sensato es que Bankia funcione como banca pública, al servicio de la ciudadanía. Así se lo he dicho a Pedro Sánchez en el Congreso 👇🏽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</si>
  <si>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https://twitter.com/Pablo_Iglesias_/status/1065182868538822656</t>
  </si>
  <si>
    <t>https://pbs.twimg.com/media/DshJpj6XQAAAkBh.jpg</t>
  </si>
  <si>
    <t>Campinas, SP, Brasil</t>
  </si>
  <si>
    <t>Nasci em 1963, e milito desde 1977 na luta social.Socialista e LGBT, sou filiado ao Partido dos Trabalhadores desde 1981.</t>
  </si>
  <si>
    <t>http://redeptsp.com.br/paulomariante/</t>
  </si>
  <si>
    <t>Cuartel General FLO</t>
  </si>
  <si>
    <t>La #AALOG61 #BRILOG @CGFLO_ET @EjercitoTierra rinde honores al Presidente del Gobierno de #España, Pedro Sánchez y al Primer Ministro de #Portugal, Antonio Santos da Costa, a su llegada al Acuartelamiento Palacio Real de #Valladolid, por la XXX Cumbre bilateral hispano-lusa</t>
  </si>
  <si>
    <t>https://pbs.twimg.com/media/DsmhTR4WwAIryZp.jpg</t>
  </si>
  <si>
    <t>A  Coruña</t>
  </si>
  <si>
    <t>Perfil oficial de la Fuerza Logística Operativa en Twitter</t>
  </si>
  <si>
    <t>http://www.ejercito.mde.es/unidades/Coruna/flo</t>
  </si>
  <si>
    <t>CIDOB Barcelona</t>
  </si>
  <si>
    <t>Pedro Sánchez se reunirá hoy con su homólogo cubano, Miguel Díaz-Canel. Será el primer viaje de un presidente del Gobierno español a la isla en 32 años. Pero, ¿qué podemos esperar del nuevo líder cubano en el frente exterior?</t>
  </si>
  <si>
    <t>http://bit.ly/Opinión531</t>
  </si>
  <si>
    <t>https://pbs.twimg.com/media/DsmivNkWoAA4-nq.jpg</t>
  </si>
  <si>
    <t>Barcelona Centre for International Affairs / Think Tank de Relaciones Internacionales</t>
  </si>
  <si>
    <t>http://www.cidob.org</t>
  </si>
  <si>
    <t>© El Emigrao 🇪🇸</t>
  </si>
  <si>
    <t>Como tiene que ser, cuidando el medio ambiente, el terrestre, claro.</t>
  </si>
  <si>
    <t>https://okdiario.com/espana/2018/11/21/ejercito-del-aire-tres-aviones-pedro-sanchez-3373984#.W_aNiVRNjGw.facebook</t>
  </si>
  <si>
    <t>España-Barcelona-L'Hospitalet</t>
  </si>
  <si>
    <t>De Minas de Tharsis (Huelva), emigrao a Cataluña en 1970, pero el corazón puesto en Huelva-</t>
  </si>
  <si>
    <t>JD Immigration</t>
  </si>
  <si>
    <t>Inmigración España, Pedro Sánchez asegurará más fondos</t>
  </si>
  <si>
    <t>https://buff.ly/2A4V98L</t>
  </si>
  <si>
    <t>https://pbs.twimg.com/media/DsmjCGwXoAAT9tx.jpg</t>
  </si>
  <si>
    <t>Inmigración y Relocation de mano de una de las empresas líderes del sector. Estudios detallados del proceso de migración y relocation.Paseo de la Castellana, 95</t>
  </si>
  <si>
    <t>http://www.jdimmigration.es</t>
  </si>
  <si>
    <t>Theresa May y Pedro Sánchez, larga llamada sobre Gibraltar</t>
  </si>
  <si>
    <t>https://ift.tt/2PKRJCF</t>
  </si>
  <si>
    <t>https://pbs.twimg.com/media/Dsmi4zAWwAAVWnl.jpg</t>
  </si>
  <si>
    <t>La Unión Europea da la puntilla a las cuentas de Pedro Sánchez al alertar de desvíos en déficit y deuda</t>
  </si>
  <si>
    <t>http://www.periodistadigital.com/economia/instituciones/2018/11/21/la-union-europea-da-la-puntilla-a-las-cuentas-de-pedro-sanchez-al-alertar-de-desvios-en-deficit-y-deuda.shtml</t>
  </si>
  <si>
    <t>El peor "escupitajo" que Borrell ha sufrido es el de su presidente Pedro Sánchez que ha pasado de su ministro para no ofender a los ofensores de sus socios. RT @WillyTolerdoo: El problema de Borrell es que su partido ha llegado al poder gracias al voto de la gentuza que le escupe. Si tuviera algo de dignidad Pedro Sánchez convocaría elecciones hoy mismo y prometería que nunca más volverá a aliarse con los escombros separatistas. Pero no lo hará.</t>
  </si>
  <si>
    <t>La escalofriante cifra que se ha gastado Pedro Sánchez en La Moncloa para estar caliente</t>
  </si>
  <si>
    <t>http://www.periodistadigital.com/politica/gobierno/2018/11/20/la-escalofriante-cifra-que-se-ha-gastado-pedro-sanchez-en-la-moncloa-para-estar-caliente.shtml</t>
  </si>
  <si>
    <t>EFEDoc Análisis</t>
  </si>
  <si>
    <t>Pedro Sánchez, tercer presidente español que visita oficialmente Cuba, en #Documentos</t>
  </si>
  <si>
    <t>https://www.efedocanalisis.com/noticia/pedro-sanchez-tercer-presidente-espanol-visita-oficialmente-cuba/</t>
  </si>
  <si>
    <t>Perfil oficial de EFEData y de EFE Análisis Análisis e información documental de calidad de @EFEnoticias Toda la actualidad en http://bit.ly/AgenciaEFE</t>
  </si>
  <si>
    <t>http://www.efedocanalisis.com/</t>
  </si>
  <si>
    <t>Marmita Bares</t>
  </si>
  <si>
    <t>Desde Marmita Bares damos la ENHORABUENA a los chef andaluces Juan Luis Fernández y Pedro Sánchez por su primera estrella MICHELÍN y, sobre todo, a Dani García por...</t>
  </si>
  <si>
    <t>https://www.abc.es/gurmemalaga/actualidad/dani-garcia-tres-estrellas-michelin-para-su-restaurante-en-marbella/</t>
  </si>
  <si>
    <t>Granada y Málaga</t>
  </si>
  <si>
    <t>Marmita Bares. Ven a disfrutar de la mejor gastronomía local con un toque actual.</t>
  </si>
  <si>
    <t>http://marmitabares.com</t>
  </si>
  <si>
    <t>VEMOS CÓMO EUROPA NINGUNEA AL DOCTOR PEDRO SANCHEZ EN EL BREXIT.</t>
  </si>
  <si>
    <t>Qué Cuba le espera al presidente del Gobierno, Pedro Sánchez, en su primera visita oficial al país caribeño. Unas claves de Sagrario García-Mascaraque y @lab_rtvees</t>
  </si>
  <si>
    <t>Cancer20.07</t>
  </si>
  <si>
    <t>María Martínez</t>
  </si>
  <si>
    <t>Pedro Sánchez asegura que España necesita el coche eléctrico para seguir exportando</t>
  </si>
  <si>
    <t>https://ift.tt/2Kr6V1T</t>
  </si>
  <si>
    <t>Amante de la #naturaleza y el #medioambiente. Auditora medioambiental de profesión</t>
  </si>
  <si>
    <t>José R Botana M</t>
  </si>
  <si>
    <t>"El proyecto era echar al PP del gobierno tras la sentencia del caso Gürtel que corroboraba la espesa corrupción del partido del gobierno. Cuanto antes Pedro Sánchez convoque elecciones, mejor para él y para todos. Es mejor que prolongar una agonía"</t>
  </si>
  <si>
    <t>https://buff.ly/2PInRah</t>
  </si>
  <si>
    <t>Catalonia, Iberian Peninsula</t>
  </si>
  <si>
    <t>A la terra fa 3.000 milions d’anys que hi ha vida, pensar que el fet d’haver sobreviscut 5 milions ens fa gaire importants és un exercici de pedanteria absurd'</t>
  </si>
  <si>
    <t>LIBERTAD | El Senado español aprobó una moción del Partido Popular para solicitar al presidente del Gobierno, Pedro Sánchez, que en el viaje oficial que inicia mañana a #Cuba solicite la libertad del #presopolítico #Eduardo Cardet #España #Libertad</t>
  </si>
  <si>
    <t>https://www.radiotelevisionmarti.com/a/senado-espa%C3%B1ol-pide-a-s%C3%A1nchez-que-reclame-en-cuba-la-liberaci%C3%B3n-del-dr-cardet/221322.html</t>
  </si>
  <si>
    <t>Un Jefe del Gobierno español visitará Cuba por primera vez en 32 años  #ATodoMomento</t>
  </si>
  <si>
    <t>Visita de Pedro Sánchez a #Cuba. Y yo pensando en #Berlanga :-)</t>
  </si>
  <si>
    <t>https://pbs.twimg.com/media/DsmhWk2XQAA57Ca.jpg</t>
  </si>
  <si>
    <t>Ni músico ni poeta. Cubano a secas.</t>
  </si>
  <si>
    <t>http://chivocontratambor.wordpress.com/</t>
  </si>
  <si>
    <t>Sánchez exige disculpas a Casado por el escupitajo de ERC a Borrell,  vía @libertaddigital</t>
  </si>
  <si>
    <t>MARÍA RODRÍGUEZ</t>
  </si>
  <si>
    <t>No pido la dimisión de un tal Pedro Sánchez pq solo espero que alguien lo denuncie por el derroche de dinero público y tenga que salir de por vida de la política</t>
  </si>
  <si>
    <t>Llega hoy a #Cuba el presidente de España #espana #españa</t>
  </si>
  <si>
    <t>El día 2 de Diciembre todos los andaluces con Susana Díaz porque de ello depende que Pedro Sanchez siga con sus propuestas sociales y no vamos a permitir que PP y Cs vuelvan a robarnolas.</t>
  </si>
  <si>
    <t>https://pbs.twimg.com/media/DsmhT0JWoAMxauL.jpg</t>
  </si>
  <si>
    <t>Un poco pesao🇰🇵</t>
  </si>
  <si>
    <t>Sabéis? Había que darle una inmensa patada en el culo a MPuntoRajoy y su banda, eso era primordial Y la única manera era que entrase Pedro Sánchez, el Gobierno lo ha conformado él, si hay que darle "leña" se le da y punto Y a esperar Elecciones Y no olvidar sobre todo</t>
  </si>
  <si>
    <t>https://pbs.twimg.com/media/DsmhOBPWkAAUHi9.jpg</t>
  </si>
  <si>
    <t>Como dicen los argentinos: SI HAY GOBIERNO YO SOY CONTRA! En una España más azul un Miguel más ROJO</t>
  </si>
  <si>
    <t>Álvaro Pichó</t>
  </si>
  <si>
    <t>El drama en España es que la derecha sabe de Economía pero no de cohesión social y la izquierda sabe de cohesión social pero nada de Economía: Bruselas desmonta punto por punto el Presupuesto de Pedro Sánchez  vía @elmundoes</t>
  </si>
  <si>
    <t>«Easy friend, hard partner». Artes, Diseño y #SEO</t>
  </si>
  <si>
    <t>http://u-serexperience.com/</t>
  </si>
  <si>
    <t>Ato</t>
  </si>
  <si>
    <t>#ParaQuéSirveLaMonarquía Para evitar que en 2 años Pedro Sánchez siga gobernando (sin haber sido elegido) a base de decretos ley junto a golpistas catalanes</t>
  </si>
  <si>
    <t>Hispanidad</t>
  </si>
  <si>
    <t>Durísima acusación contra Pedro Sánchez. El opositor Fariñas sobre la visita presidencial a Cuba: “Demuestra su complicidad con el régimen” castrista</t>
  </si>
  <si>
    <t>https://www.hispanidad.com/confidencial/durisima-acusacion-contra-pedro-sanchez-el-opositor-farinas-sobre-la-visita-presidencial-a-cuba-demuestra-su-complicidad-con-el-regimen-castrista_12005666_102.html?utm_source=Twitter&amp;utm_medium=Social&amp;utm_content=Post</t>
  </si>
  <si>
    <t>Decano de la prensa digital española. Fundado el 20 de marzo de 1996</t>
  </si>
  <si>
    <t>http://www.hispanidad.com</t>
  </si>
  <si>
    <t>María del Mar Ania🌌☕</t>
  </si>
  <si>
    <t>https://okdiario.com/espana/2018/11/21/ejercito-del-aire-tres-aviones-pedro-sanchez-3373984#.W_aLGmF1GbA.twitter</t>
  </si>
  <si>
    <t>Llanera, Asturias//Chiclana</t>
  </si>
  <si>
    <t>Odiar los lunes, aburrirse los martes, ignorar el miércoles, sonreír el jueves, amar el viernes, disfrutar los sábados, putear el domingo.....</t>
  </si>
  <si>
    <t>Pedro Sánchez no se reunirá con la oposición cubana durante visita a la Isla  #actualidad</t>
  </si>
  <si>
    <t>https://goo.gl/fb/F1f7q4</t>
  </si>
  <si>
    <t>SOS Prisiones</t>
  </si>
  <si>
    <t>Así recibieron los funcionarios de #SOSPrisiones a Pedro Sánchez en Valladolid #TuAbandonoMePuedeMatar</t>
  </si>
  <si>
    <t>pic.twitter.com/V57i0hGdc9</t>
  </si>
  <si>
    <t>En el talego</t>
  </si>
  <si>
    <t>Cuenta para la defensa de la dignidad de los funcionarios de prisiones</t>
  </si>
  <si>
    <t>El presidente Pedro Sánchez llegará este jueves a La Habana para una visita de apenas 24 horas durante las cuales no se verá con ningún disidente, aunque sí con intelectuales, artistas y emprendedores que forman parte de la sociedad civil</t>
  </si>
  <si>
    <t>http://ow.ly/g7ss30mIbCc</t>
  </si>
  <si>
    <t>El lapsus de Pedro Sánchez: "Las elecciones las haré cuando crea que son beneficiosas para los intereses generales del part... país"</t>
  </si>
  <si>
    <t>https://pbs.twimg.com/media/DsmghM_W0AA1_Yx.jpg</t>
  </si>
  <si>
    <t>Es tedioso que el @socialistes_cat lleve al Parlament una moción sobre una ley que se está tramitando en el Congreso. ¿No tienen cuestiones que tratar de ámbito autonómico? ¿O es que se toman el Parlament como un mero medio de propaganda para las necesidades de Pedro Sánchez?</t>
  </si>
  <si>
    <t>EL PRESIDENTE DE ARGENTINA BAILANDO 'TE QUIERO MÁS' DE TINI JAJAJAJAJAJAJAJA OJALÁ PEDRO SÁNCHEZ BAILANDO TELÉFONO REMIX RT @PolArg: #MACRI | Luego de anunciar duelo por tres días por el hallazgo del ARA San Juan el Presidente se fue a bailar a una fiesta en el campo del CEO de la firma Disney para Latinoamérica. Más info acá -&gt;  ¿Qué opinás?</t>
  </si>
  <si>
    <t>https://twitter.com/PolArg/status/1064997822062305280
https://buff.ly/2TvWluF</t>
  </si>
  <si>
    <t>pic.twitter.com/9XYQDoEvOz</t>
  </si>
  <si>
    <t>Abril de 1996. Filmmaker/Screenwriter. Atresmedia. VERUM. The Hall of Stars. Reivaj.</t>
  </si>
  <si>
    <t>http://www.instagram.com/JaviTjader</t>
  </si>
  <si>
    <t>ramon terricabras</t>
  </si>
  <si>
    <t>Para hacer esto hay que ser valiente, y precisamente este no es el punto fuerte de Pedro Sanchez. Con el tiempo, si es que lo tiene, haría bueno a Zapatero. RT @apuente: Un Gobierno de coalición con Podemos y guiños a la tercera pata indepe habría salido igual de caro en patriotismo pero hubiera tenido más fácil sacar presus y gobernar. Medio año ha bastado para confirmar que hacer un gob de borrelles y marlaskas encajonaba más que seducía centro</t>
  </si>
  <si>
    <t>https://twitter.com/apuente/status/1065547335709663232</t>
  </si>
  <si>
    <t>Roberto</t>
  </si>
  <si>
    <t>Que el psoe no apoye a su ministro por lo del escupitajo es sencillamente lamentable pero en verdad a mi no me sorprende nada ya del despilfarrador Pedro Sánchez. Él no ve un golpe de estado, como va a ver un escupitajo. Incrédulos!!</t>
  </si>
  <si>
    <t>Guijuelo, Salmanca y Marbella</t>
  </si>
  <si>
    <t>Soy el hijo de la señora Mari y eso es tan grande que no hace falta decir nada más.</t>
  </si>
  <si>
    <t>Red FICP</t>
  </si>
  <si>
    <t>Red de la Federación Internacional de Comunicadores Populares</t>
  </si>
  <si>
    <t>Pedro Sánchez navega en aguas bravas. La legislatura atraviesa rabiones que amenazan con hacerla naufragar.</t>
  </si>
  <si>
    <t>https://ift.tt/2AaFvsI</t>
  </si>
  <si>
    <t>Las compañías presentes en la isla celebran la visita oficial, pero piden soluciones para sus problemas</t>
  </si>
  <si>
    <t>https://www.lavanguardia.com/economia/20181122/453091485297/espana-cuba-pedro-sanchez-visita-empresas.html?utm_source=twitter_lv&amp;utm_medium=social</t>
  </si>
  <si>
    <t>Jorge Botos</t>
  </si>
  <si>
    <t>Carolina Puset o que Pedro Sánchez es el juguete retórico al bolsillo de su depredador para bromas</t>
  </si>
  <si>
    <t>Naranjito 🍊</t>
  </si>
  <si>
    <t>Sin el respaldo de sus compañeros de bancada y siendo ignorado por Pedro Sánchez ¡ahora Borrel sufre el acoso de ERC para que dimita! Este es un Gobierno de infames: "Borrell es un mentiroso y ha puesto en la diana a un compañero... Borrell debe dimitir"</t>
  </si>
  <si>
    <t>“... cuando se lucha contra cualquiera de los avatares del totalitarismo hay que decidir si ser Chamberlain o Churchill” Etiam si omnes, ego non</t>
  </si>
  <si>
    <t>http://www.facebook.com/groups/yosoynaranjito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</si>
</sst>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vertical="center"/>
    </xf>
    <xf numFmtId="0" fontId="9"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quotePrefix="1" applyFont="1" applyAlignment="1">
      <alignment horizontal="left" vertical="center" wrapText="1"/>
    </xf>
    <xf numFmtId="0" fontId="3" fillId="0" borderId="0" xfId="0" quotePrefix="1" applyFont="1" applyAlignment="1">
      <alignment horizontal="left" vertical="center"/>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www.larepublica.pe/" TargetMode="External"/><Relationship Id="rId3182" Type="http://schemas.openxmlformats.org/officeDocument/2006/relationships/hyperlink" Target="http://jagvaldezate.blogspot.com.es/" TargetMode="External"/><Relationship Id="rId3042" Type="http://schemas.openxmlformats.org/officeDocument/2006/relationships/hyperlink" Target="http://www.fecec.net/" TargetMode="External"/><Relationship Id="rId170" Type="http://schemas.openxmlformats.org/officeDocument/2006/relationships/hyperlink" Target="http://www.youtube.com/channel/UCGA1_eec552ZWn41Fzl5x5A/videos" TargetMode="External"/><Relationship Id="rId987" Type="http://schemas.openxmlformats.org/officeDocument/2006/relationships/hyperlink" Target="http://theobjective.com/" TargetMode="External"/><Relationship Id="rId2668" Type="http://schemas.openxmlformats.org/officeDocument/2006/relationships/hyperlink" Target="http://ceutatv.com/art/10248/el-encuentro-vivas-batet-propicia-un-convenio-para-la-frontera" TargetMode="External"/><Relationship Id="rId2875" Type="http://schemas.openxmlformats.org/officeDocument/2006/relationships/hyperlink" Target="http://zpr.io/6d8ZB" TargetMode="External"/><Relationship Id="rId847" Type="http://schemas.openxmlformats.org/officeDocument/2006/relationships/hyperlink" Target="http://dlvr.it/Qrw8pf" TargetMode="External"/><Relationship Id="rId1477" Type="http://schemas.openxmlformats.org/officeDocument/2006/relationships/hyperlink" Target="http://dlvr.it/QrvJ7n" TargetMode="External"/><Relationship Id="rId1684" Type="http://schemas.openxmlformats.org/officeDocument/2006/relationships/hyperlink" Target="https://pbs.twimg.com/media/DspQIGCVYAE7VFl.jpg" TargetMode="External"/><Relationship Id="rId1891" Type="http://schemas.openxmlformats.org/officeDocument/2006/relationships/hyperlink" Target="http://j.mp/2KqabLb" TargetMode="External"/><Relationship Id="rId2528" Type="http://schemas.openxmlformats.org/officeDocument/2006/relationships/hyperlink" Target="https://bit.ly/2qWfDfU" TargetMode="External"/><Relationship Id="rId2735" Type="http://schemas.openxmlformats.org/officeDocument/2006/relationships/hyperlink" Target="http://www.acn.cu/" TargetMode="External"/><Relationship Id="rId2942" Type="http://schemas.openxmlformats.org/officeDocument/2006/relationships/hyperlink" Target="https://www.ulceras.net/empresas/novedades/invitacion-simposio-urgo---gneaupp-29-noviembre.pdf" TargetMode="External"/><Relationship Id="rId707" Type="http://schemas.openxmlformats.org/officeDocument/2006/relationships/hyperlink" Target="http://dlvr.it/QrwNww" TargetMode="External"/><Relationship Id="rId914" Type="http://schemas.openxmlformats.org/officeDocument/2006/relationships/hyperlink" Target="https://javierbarrenablog.wordpress.com/" TargetMode="External"/><Relationship Id="rId1337" Type="http://schemas.openxmlformats.org/officeDocument/2006/relationships/hyperlink" Target="http://meneame.net/" TargetMode="External"/><Relationship Id="rId1544" Type="http://schemas.openxmlformats.org/officeDocument/2006/relationships/hyperlink" Target="https://goo.gl/3crfr4" TargetMode="External"/><Relationship Id="rId1751" Type="http://schemas.openxmlformats.org/officeDocument/2006/relationships/hyperlink" Target="http://dlvr.it/QrtxCS" TargetMode="External"/><Relationship Id="rId2802" Type="http://schemas.openxmlformats.org/officeDocument/2006/relationships/hyperlink" Target="https://pbs.twimg.com/media/DsnsPzvXoAAM7sI.jpg" TargetMode="External"/><Relationship Id="rId43" Type="http://schemas.openxmlformats.org/officeDocument/2006/relationships/hyperlink" Target="https://elpais.com/internacional/2018/11/23/actualidad/1542979888_803907.html?id_externo_rsoc=TW_CC" TargetMode="External"/><Relationship Id="rId1404" Type="http://schemas.openxmlformats.org/officeDocument/2006/relationships/hyperlink" Target="https://pbs.twimg.com/media/DsqKM-MU8AACjN-.jpg" TargetMode="External"/><Relationship Id="rId1611" Type="http://schemas.openxmlformats.org/officeDocument/2006/relationships/hyperlink" Target="https://wp.me/p26M0z-BSD" TargetMode="External"/><Relationship Id="rId3369" Type="http://schemas.openxmlformats.org/officeDocument/2006/relationships/hyperlink" Target="https://superrhheroes.sesametime.com/controlar-los-horarios-de-trabajo/" TargetMode="External"/><Relationship Id="rId3576" Type="http://schemas.openxmlformats.org/officeDocument/2006/relationships/hyperlink" Target="https://ift.tt/2AaFvsI" TargetMode="External"/><Relationship Id="rId497" Type="http://schemas.openxmlformats.org/officeDocument/2006/relationships/hyperlink" Target="http://bit.ly/2OVFSMR" TargetMode="External"/><Relationship Id="rId2178" Type="http://schemas.openxmlformats.org/officeDocument/2006/relationships/hyperlink" Target="https://www.elmundo.es/economia/macroeconomia/2018/11/21/5bf542fa46163f8e9e8b4669.html" TargetMode="External"/><Relationship Id="rId2385" Type="http://schemas.openxmlformats.org/officeDocument/2006/relationships/hyperlink" Target="http://es.wikinews.org/" TargetMode="External"/><Relationship Id="rId3229" Type="http://schemas.openxmlformats.org/officeDocument/2006/relationships/hyperlink" Target="https://twitter.com/royjanes/status/1065589496950022147" TargetMode="External"/><Relationship Id="rId357" Type="http://schemas.openxmlformats.org/officeDocument/2006/relationships/hyperlink" Target="https://estudioslatinoseiberoamericanos.wordpress.com/2016/08/08/espana-debe-dejar-el-bloqueo-politico-y-continuar-su-buen-ritmo-consolidando-lo-bien-logrado-e-ir-por-mas-a-que-le-dice-no-pedro-sanchez-cuando-el-no-p-3/" TargetMode="External"/><Relationship Id="rId1194" Type="http://schemas.openxmlformats.org/officeDocument/2006/relationships/hyperlink" Target="http://www.amgarciac.es/" TargetMode="External"/><Relationship Id="rId2038" Type="http://schemas.openxmlformats.org/officeDocument/2006/relationships/hyperlink" Target="http://www.notinewsmiami.com/" TargetMode="External"/><Relationship Id="rId2592" Type="http://schemas.openxmlformats.org/officeDocument/2006/relationships/hyperlink" Target="http://bit.ly/2DpayEb" TargetMode="External"/><Relationship Id="rId3436" Type="http://schemas.openxmlformats.org/officeDocument/2006/relationships/hyperlink" Target="https://pbs.twimg.com/media/DsmtWCrX4AE3Aa7.jpg" TargetMode="External"/><Relationship Id="rId217" Type="http://schemas.openxmlformats.org/officeDocument/2006/relationships/hyperlink" Target="http://www.informesinbandera.com/" TargetMode="External"/><Relationship Id="rId564" Type="http://schemas.openxmlformats.org/officeDocument/2006/relationships/hyperlink" Target="https://ift.tt/2S5YyeQ" TargetMode="External"/><Relationship Id="rId771" Type="http://schemas.openxmlformats.org/officeDocument/2006/relationships/hyperlink" Target="http://rachaelhistorias.blogspot.com.es/" TargetMode="External"/><Relationship Id="rId2245" Type="http://schemas.openxmlformats.org/officeDocument/2006/relationships/hyperlink" Target="http://goo.gl/alerts/uUUNZ" TargetMode="External"/><Relationship Id="rId2452" Type="http://schemas.openxmlformats.org/officeDocument/2006/relationships/hyperlink" Target="https://okdiario.com/espana/2018/11/21/sanchez-mando-coche-oficial-vacio-valladolid-hacer-8-kms-del-aeropuerto-ciudad-3377374?utm_campaign=ok&amp;utm_medium=Social&amp;utm_source=Facebook" TargetMode="External"/><Relationship Id="rId3503" Type="http://schemas.openxmlformats.org/officeDocument/2006/relationships/hyperlink" Target="https://ift.tt/2qYjDMR" TargetMode="External"/><Relationship Id="rId424" Type="http://schemas.openxmlformats.org/officeDocument/2006/relationships/hyperlink" Target="https://pbs.twimg.com/media/DssBE34UUAA2Sxx.jpg" TargetMode="External"/><Relationship Id="rId631" Type="http://schemas.openxmlformats.org/officeDocument/2006/relationships/hyperlink" Target="https://itunes.apple.com/es/book/gettysburg-1863/id665369445?mt=11" TargetMode="External"/><Relationship Id="rId1054" Type="http://schemas.openxmlformats.org/officeDocument/2006/relationships/hyperlink" Target="https://buff.ly/2DTu24N" TargetMode="External"/><Relationship Id="rId1261" Type="http://schemas.openxmlformats.org/officeDocument/2006/relationships/hyperlink" Target="http://ver.20m.es/fpinu2" TargetMode="External"/><Relationship Id="rId2105" Type="http://schemas.openxmlformats.org/officeDocument/2006/relationships/hyperlink" Target="https://twitter.com/sanchezcastejon/status/1065718710466428928" TargetMode="External"/><Relationship Id="rId2312" Type="http://schemas.openxmlformats.org/officeDocument/2006/relationships/hyperlink" Target="http://www.elperiodico.com/es/autor/gemma-robles/" TargetMode="External"/><Relationship Id="rId1121" Type="http://schemas.openxmlformats.org/officeDocument/2006/relationships/hyperlink" Target="http://www.citizengo.org/hazteoir/166670-no-expolie-por-segunda-vez-archivo-salamanca?tc=tw&amp;tcid=52313949" TargetMode="External"/><Relationship Id="rId3086" Type="http://schemas.openxmlformats.org/officeDocument/2006/relationships/hyperlink" Target="http://www.voxespana.es/" TargetMode="External"/><Relationship Id="rId3293" Type="http://schemas.openxmlformats.org/officeDocument/2006/relationships/hyperlink" Target="http://www.pp-asturias.com/" TargetMode="External"/><Relationship Id="rId1938" Type="http://schemas.openxmlformats.org/officeDocument/2006/relationships/hyperlink" Target="https://bit.ly/2R3veFE" TargetMode="External"/><Relationship Id="rId3153" Type="http://schemas.openxmlformats.org/officeDocument/2006/relationships/hyperlink" Target="https://www.elmundo.es/espana/2018/11/21/5bf5ab23e2704ea02f8b4581.html" TargetMode="External"/><Relationship Id="rId3360" Type="http://schemas.openxmlformats.org/officeDocument/2006/relationships/hyperlink" Target="http://www.radioreloj.cu/" TargetMode="External"/><Relationship Id="rId281" Type="http://schemas.openxmlformats.org/officeDocument/2006/relationships/hyperlink" Target="https://pbs.twimg.com/media/DssNZahWwAU8hoH.jpg" TargetMode="External"/><Relationship Id="rId3013" Type="http://schemas.openxmlformats.org/officeDocument/2006/relationships/hyperlink" Target="http://14ymedio.com/" TargetMode="External"/><Relationship Id="rId141" Type="http://schemas.openxmlformats.org/officeDocument/2006/relationships/hyperlink" Target="http://bit.ly/2DShevH" TargetMode="External"/><Relationship Id="rId3220" Type="http://schemas.openxmlformats.org/officeDocument/2006/relationships/hyperlink" Target="https://ift.tt/2DDghGw" TargetMode="External"/><Relationship Id="rId7" Type="http://schemas.openxmlformats.org/officeDocument/2006/relationships/hyperlink" Target="https://pbs.twimg.com/media/DspQ3WpV4AEauit.jpg" TargetMode="External"/><Relationship Id="rId2779" Type="http://schemas.openxmlformats.org/officeDocument/2006/relationships/hyperlink" Target="https://okdiario.com/espana/2018/11/21/sanchez-mando-coche-oficial-vacio-valladolid-hacer-8-kms-del-aeropuerto-ciudad-3377374" TargetMode="External"/><Relationship Id="rId2986" Type="http://schemas.openxmlformats.org/officeDocument/2006/relationships/hyperlink" Target="http://somosecd.com/5rrz41" TargetMode="External"/><Relationship Id="rId958" Type="http://schemas.openxmlformats.org/officeDocument/2006/relationships/hyperlink" Target="https://twitter.com/sanchezcastejon/status/1065718710466428928" TargetMode="External"/><Relationship Id="rId1588" Type="http://schemas.openxmlformats.org/officeDocument/2006/relationships/hyperlink" Target="http://hispanosaldia.com/" TargetMode="External"/><Relationship Id="rId1795" Type="http://schemas.openxmlformats.org/officeDocument/2006/relationships/hyperlink" Target="https://twitter.com/sanchezcastejon/status/1065719004923342850" TargetMode="External"/><Relationship Id="rId2639" Type="http://schemas.openxmlformats.org/officeDocument/2006/relationships/hyperlink" Target="http://www.socialdemocratas.es/" TargetMode="External"/><Relationship Id="rId2846" Type="http://schemas.openxmlformats.org/officeDocument/2006/relationships/hyperlink" Target="https://www.elmundo.es/espana/2018/11/21/5bf5ab23e2704ea02f8b4581.html" TargetMode="External"/><Relationship Id="rId87" Type="http://schemas.openxmlformats.org/officeDocument/2006/relationships/hyperlink" Target="http://www.cubaenmiami.com/presidente-espanol-pedro-sanchez-llega-a-cuba-para-visita-oficial/" TargetMode="External"/><Relationship Id="rId818" Type="http://schemas.openxmlformats.org/officeDocument/2006/relationships/hyperlink" Target="https://nuevarevolucion.es/pedro-sanchez-el-paso-atras-de-la-izquierda/" TargetMode="External"/><Relationship Id="rId1448" Type="http://schemas.openxmlformats.org/officeDocument/2006/relationships/hyperlink" Target="https://wp.me/p26M0z-BSD--" TargetMode="External"/><Relationship Id="rId1655" Type="http://schemas.openxmlformats.org/officeDocument/2006/relationships/hyperlink" Target="http://www.sumarium.es/" TargetMode="External"/><Relationship Id="rId2706" Type="http://schemas.openxmlformats.org/officeDocument/2006/relationships/hyperlink" Target="http://cuartopoder.es/" TargetMode="External"/><Relationship Id="rId1308" Type="http://schemas.openxmlformats.org/officeDocument/2006/relationships/hyperlink" Target="https://cnn.it/2OYpGL1" TargetMode="External"/><Relationship Id="rId1862" Type="http://schemas.openxmlformats.org/officeDocument/2006/relationships/hyperlink" Target="http://www.colpisa.com/" TargetMode="External"/><Relationship Id="rId2913" Type="http://schemas.openxmlformats.org/officeDocument/2006/relationships/hyperlink" Target="https://youtu.be/OBEluUwFIu0" TargetMode="External"/><Relationship Id="rId1515" Type="http://schemas.openxmlformats.org/officeDocument/2006/relationships/hyperlink" Target="http://epmundo.com/2018/theresa-may-le-saca-las-garras-al-gobierno-de-pedro-sanchez/" TargetMode="External"/><Relationship Id="rId1722" Type="http://schemas.openxmlformats.org/officeDocument/2006/relationships/hyperlink" Target="http://aprendaareciclaroro.blogspot.com/" TargetMode="External"/><Relationship Id="rId14" Type="http://schemas.openxmlformats.org/officeDocument/2006/relationships/hyperlink" Target="http://epmundo.com/2018/theresa-may-le-saca-las-garras-al-gobierno-de-pedro-sanchez/" TargetMode="External"/><Relationship Id="rId2289" Type="http://schemas.openxmlformats.org/officeDocument/2006/relationships/hyperlink" Target="https://www.facebook.com/exiliados.extremoduro" TargetMode="External"/><Relationship Id="rId2496" Type="http://schemas.openxmlformats.org/officeDocument/2006/relationships/hyperlink" Target="https://www.libertaddigital.com/espana/2018-11-21/pedro-sanchez-pide-a-casado-y-rufian-que-pidan-discupas-por-el-escupitajo-de-erc-a-borell-1276628638/" TargetMode="External"/><Relationship Id="rId3547" Type="http://schemas.openxmlformats.org/officeDocument/2006/relationships/hyperlink" Target="https://buff.ly/2PInRah" TargetMode="External"/><Relationship Id="rId468" Type="http://schemas.openxmlformats.org/officeDocument/2006/relationships/hyperlink" Target="http://pic.twitter.com/lCEh6J2Cyq" TargetMode="External"/><Relationship Id="rId675" Type="http://schemas.openxmlformats.org/officeDocument/2006/relationships/hyperlink" Target="https://elblogdelnecio.wordpress.com/" TargetMode="External"/><Relationship Id="rId882" Type="http://schemas.openxmlformats.org/officeDocument/2006/relationships/hyperlink" Target="http://pic.twitter.com/4vyXSyHq58" TargetMode="External"/><Relationship Id="rId1098" Type="http://schemas.openxmlformats.org/officeDocument/2006/relationships/hyperlink" Target="https://elfarodeceuta.es/pedro-sanchez-visita-mausoleo-mohamed-vi-rey-marruecos/" TargetMode="External"/><Relationship Id="rId2149" Type="http://schemas.openxmlformats.org/officeDocument/2006/relationships/hyperlink" Target="https://www.elmundo.es/espana/2018/11/21/5bf5ab23e2704ea02f8b4581.html" TargetMode="External"/><Relationship Id="rId2356" Type="http://schemas.openxmlformats.org/officeDocument/2006/relationships/hyperlink" Target="http://ow.ly/pr3E30mIxNa" TargetMode="External"/><Relationship Id="rId2563" Type="http://schemas.openxmlformats.org/officeDocument/2006/relationships/hyperlink" Target="https://okdiario.com/espana/2018/11/22/sanchez-inicia-primera-visita-lider-europeo-dictador-cubano-diaz-canel-3380653" TargetMode="External"/><Relationship Id="rId2770"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3407" Type="http://schemas.openxmlformats.org/officeDocument/2006/relationships/hyperlink" Target="http://rpintopressfashion.wordpress.com/" TargetMode="External"/><Relationship Id="rId328" Type="http://schemas.openxmlformats.org/officeDocument/2006/relationships/hyperlink" Target="https://okdiario.com/espana/2018/11/21/sanchez-mando-coche-oficial-vacio-valladolid-hacer-8-kms-del-aeropuerto-ciudad-3377374?utm_campaign=ok&amp;utm_medium=Social&amp;utm_source=Facebook" TargetMode="External"/><Relationship Id="rId535" Type="http://schemas.openxmlformats.org/officeDocument/2006/relationships/hyperlink" Target="https://pbs.twimg.com/media/Dsr5CyOXgAAfGvi.jpg" TargetMode="External"/><Relationship Id="rId742" Type="http://schemas.openxmlformats.org/officeDocument/2006/relationships/hyperlink" Target="http://bit.ly/2FDXFcc" TargetMode="External"/><Relationship Id="rId1165" Type="http://schemas.openxmlformats.org/officeDocument/2006/relationships/hyperlink" Target="https://www.elconfidencial.com/autores/daniel-arjona-1129/" TargetMode="External"/><Relationship Id="rId1372" Type="http://schemas.openxmlformats.org/officeDocument/2006/relationships/hyperlink" Target="https://www.elconfidencial.com/espana/2018-11-23/pedro-sanchez-adelanto-electoral-superdomingo-barones_1663322/" TargetMode="External"/><Relationship Id="rId2009" Type="http://schemas.openxmlformats.org/officeDocument/2006/relationships/hyperlink" Target="http://www.veronicalderon.com/" TargetMode="External"/><Relationship Id="rId2216" Type="http://schemas.openxmlformats.org/officeDocument/2006/relationships/hyperlink" Target="https://www.elindependiente.com/politica/2018/11/22/may-soberania-britanica-gibraltar-absolutamente-clara-pedro-sanchez/?utm_source=share_buttons&amp;utm_medium=facebook&amp;utm_campaign=social_share" TargetMode="External"/><Relationship Id="rId2423" Type="http://schemas.openxmlformats.org/officeDocument/2006/relationships/hyperlink" Target="http://ow.ly/uNcJ30mIwL5" TargetMode="External"/><Relationship Id="rId2630" Type="http://schemas.openxmlformats.org/officeDocument/2006/relationships/hyperlink" Target="http://www.youtube.com/channel/UCGA1_eec552ZWn41Fzl5x5A/videos" TargetMode="External"/><Relationship Id="rId602" Type="http://schemas.openxmlformats.org/officeDocument/2006/relationships/hyperlink" Target="http://www.granma.cu/cuba/2018-11-22/recibio-diaz-canel-al-presidente-del-gobierno-de-espana-22-11-2018-21-11-29" TargetMode="External"/><Relationship Id="rId1025" Type="http://schemas.openxmlformats.org/officeDocument/2006/relationships/hyperlink" Target="http://www.hermandaddelcarmen.es/juventud" TargetMode="External"/><Relationship Id="rId1232" Type="http://schemas.openxmlformats.org/officeDocument/2006/relationships/hyperlink" Target="http://ver.20m.es/tzztm3" TargetMode="External"/><Relationship Id="rId3197" Type="http://schemas.openxmlformats.org/officeDocument/2006/relationships/hyperlink" Target="https://twitter.com/numer344/status/1065391592184389637" TargetMode="External"/><Relationship Id="rId3057" Type="http://schemas.openxmlformats.org/officeDocument/2006/relationships/hyperlink" Target="http://bit.ly/2qYVGVx" TargetMode="External"/><Relationship Id="rId185" Type="http://schemas.openxmlformats.org/officeDocument/2006/relationships/hyperlink" Target="http://misiones.minrex.gob.cu/es/republica-checa" TargetMode="External"/><Relationship Id="rId1909" Type="http://schemas.openxmlformats.org/officeDocument/2006/relationships/hyperlink" Target="https://pbs.twimg.com/media/DspE_2KVYAABp6r.jpg" TargetMode="External"/><Relationship Id="rId3264" Type="http://schemas.openxmlformats.org/officeDocument/2006/relationships/hyperlink" Target="http://www.pp.es/marta-gonzalez-vazquez" TargetMode="External"/><Relationship Id="rId3471" Type="http://schemas.openxmlformats.org/officeDocument/2006/relationships/hyperlink" Target="https://pbs.twimg.com/media/DsmpPaxW0AAg-Y3.jpg" TargetMode="External"/><Relationship Id="rId392" Type="http://schemas.openxmlformats.org/officeDocument/2006/relationships/hyperlink" Target="https://www.revistavanityfair.es/poder/articulos/luis-marco-aguiriano-brexit-ue-theresa-may-pedro-sanchez-este-es-el-hombre-mas-indiscreto-de-europa/34843" TargetMode="External"/><Relationship Id="rId2073" Type="http://schemas.openxmlformats.org/officeDocument/2006/relationships/hyperlink" Target="http://www.lasexta.com/noticias/" TargetMode="External"/><Relationship Id="rId2280" Type="http://schemas.openxmlformats.org/officeDocument/2006/relationships/hyperlink" Target="http://www.damasdeblanco.org/" TargetMode="External"/><Relationship Id="rId3124" Type="http://schemas.openxmlformats.org/officeDocument/2006/relationships/hyperlink" Target="https://pbs.twimg.com/media/DsnRFscW0AE5qZ3.jpg" TargetMode="External"/><Relationship Id="rId3331" Type="http://schemas.openxmlformats.org/officeDocument/2006/relationships/hyperlink" Target="https://pbs.twimg.com/media/Dsm6zLJXQAEU-pt.jpg" TargetMode="External"/><Relationship Id="rId252" Type="http://schemas.openxmlformats.org/officeDocument/2006/relationships/hyperlink" Target="http://pic.twitter.com/kektmO66qz" TargetMode="External"/><Relationship Id="rId2140" Type="http://schemas.openxmlformats.org/officeDocument/2006/relationships/hyperlink" Target="https://okdiario.com/espana/2018/11/21/sanchez-mando-coche-oficial-vacio-valladolid-hacer-8-kms-del-aeropuerto-ciudad-3377374" TargetMode="External"/><Relationship Id="rId112" Type="http://schemas.openxmlformats.org/officeDocument/2006/relationships/hyperlink" Target="http://dlvr.it/QrxC2b" TargetMode="External"/><Relationship Id="rId1699" Type="http://schemas.openxmlformats.org/officeDocument/2006/relationships/hyperlink" Target="https://pbs.twimg.com/media/DspbbF5VYAETPw-.jpg" TargetMode="External"/><Relationship Id="rId2000" Type="http://schemas.openxmlformats.org/officeDocument/2006/relationships/hyperlink" Target="https://pbs.twimg.com/media/Dso9ea-V4AAtOlu.jpg" TargetMode="External"/><Relationship Id="rId2957" Type="http://schemas.openxmlformats.org/officeDocument/2006/relationships/hyperlink" Target="https://www.lasprovincias.es/comunitat/gobierno-proporcion-razonable-castellano-colegios-valencianos-20181122094853-nt.html" TargetMode="External"/><Relationship Id="rId929" Type="http://schemas.openxmlformats.org/officeDocument/2006/relationships/hyperlink" Target="http://www.laverdad.es/" TargetMode="External"/><Relationship Id="rId1559" Type="http://schemas.openxmlformats.org/officeDocument/2006/relationships/hyperlink" Target="http://www.reforma.com/" TargetMode="External"/><Relationship Id="rId1766" Type="http://schemas.openxmlformats.org/officeDocument/2006/relationships/hyperlink" Target="https://pbs.twimg.com/media/DspT-MuU8AAaWEq.jpg" TargetMode="External"/><Relationship Id="rId1973" Type="http://schemas.openxmlformats.org/officeDocument/2006/relationships/hyperlink" Target="https://www.elindependiente.com/politica/2018/11/22/sanchez-gibraltar-no-cambios-vetaremos-brexit/?utm_source=share_buttons&amp;utm_medium=twitter&amp;utm_campaign=social_share" TargetMode="External"/><Relationship Id="rId2817" Type="http://schemas.openxmlformats.org/officeDocument/2006/relationships/hyperlink" Target="https://www.elmundo.es/internacional/2018/11/22/5bf6b01b468aeb352a8b463a.html" TargetMode="External"/><Relationship Id="rId58" Type="http://schemas.openxmlformats.org/officeDocument/2006/relationships/hyperlink" Target="http://paper.li/lobo_solito/1343408781" TargetMode="External"/><Relationship Id="rId1419" Type="http://schemas.openxmlformats.org/officeDocument/2006/relationships/hyperlink" Target="https://pbs.twimg.com/media/DsqGyL8UUAElg1s.jpg" TargetMode="External"/><Relationship Id="rId1626" Type="http://schemas.openxmlformats.org/officeDocument/2006/relationships/hyperlink" Target="https://www.elmundo.es/internacional/2018/11/22/5bf6b01b468aeb352a8b463a.html" TargetMode="External"/><Relationship Id="rId1833" Type="http://schemas.openxmlformats.org/officeDocument/2006/relationships/hyperlink" Target="https://twitter.com/hermanntertsch/status/1065693079720640512" TargetMode="External"/><Relationship Id="rId1900" Type="http://schemas.openxmlformats.org/officeDocument/2006/relationships/hyperlink" Target="http://ow.ly/PKDf30mIHtq" TargetMode="External"/><Relationship Id="rId579" Type="http://schemas.openxmlformats.org/officeDocument/2006/relationships/hyperlink" Target="http://www.juventudrebelde.cu/cuba/2018-11-22/pedro-sanchez-en-la-habana-historia-y-cooperacion" TargetMode="External"/><Relationship Id="rId786" Type="http://schemas.openxmlformats.org/officeDocument/2006/relationships/hyperlink" Target="https://ift.tt/2BtbpCv" TargetMode="External"/><Relationship Id="rId993" Type="http://schemas.openxmlformats.org/officeDocument/2006/relationships/hyperlink" Target="https://pbs.twimg.com/media/DsrGd4tXgAAV0tW.jpg" TargetMode="External"/><Relationship Id="rId2467" Type="http://schemas.openxmlformats.org/officeDocument/2006/relationships/hyperlink" Target="https://okdiario.com/espana/2018/11/20/sanchez-gasta-cerca-millon-euros-poner-punto-luz-calefaccion-moncloa-3372360" TargetMode="External"/><Relationship Id="rId2674" Type="http://schemas.openxmlformats.org/officeDocument/2006/relationships/hyperlink" Target="https://okdiario.com/espana/2018/11/21/sanchez-mando-coche-oficial-vacio-valladolid-hacer-8-kms-del-aeropuerto-ciudad-3377374" TargetMode="External"/><Relationship Id="rId3518" Type="http://schemas.openxmlformats.org/officeDocument/2006/relationships/hyperlink" Target="https://okdiario.com/espana/2018/11/20/sanchez-gasta-cerca-millon-euros-poner-punto-luz-calefaccion-moncloa-3372360" TargetMode="External"/><Relationship Id="rId439" Type="http://schemas.openxmlformats.org/officeDocument/2006/relationships/hyperlink" Target="https://www.uruguayaltoque.uy/pedro-sanchez-hablo-con-theresa-may-y-reitero-que-hara-espana-si-no-hay-cambios-sobre-gibraltar-vetaremos-el-brexit/" TargetMode="External"/><Relationship Id="rId646" Type="http://schemas.openxmlformats.org/officeDocument/2006/relationships/hyperlink" Target="http://www.eldiario.es/murcia/" TargetMode="External"/><Relationship Id="rId1069" Type="http://schemas.openxmlformats.org/officeDocument/2006/relationships/hyperlink" Target="http://epmundo.com/" TargetMode="External"/><Relationship Id="rId1276" Type="http://schemas.openxmlformats.org/officeDocument/2006/relationships/hyperlink" Target="http://www.rtve.es/n/1842360" TargetMode="External"/><Relationship Id="rId1483" Type="http://schemas.openxmlformats.org/officeDocument/2006/relationships/hyperlink" Target="https://okdiario.com/opinion/2018/11/22/indignidad-pedro-sanchez-borrell-3380779" TargetMode="External"/><Relationship Id="rId2327" Type="http://schemas.openxmlformats.org/officeDocument/2006/relationships/hyperlink" Target="http://www.citizengo.org/hazteoir/166670-no-expolie-por-segunda-vez-archivo-salamanca?tc=tw&amp;tcid=52308728" TargetMode="External"/><Relationship Id="rId2881" Type="http://schemas.openxmlformats.org/officeDocument/2006/relationships/hyperlink" Target="https://www.elindependiente.com/politica/2018/11/22/may-defendere-la-soberania-britanica-gibraltar-fui-absolutamente-clara-pedro-sanchez/?utm_source=share_buttons&amp;utm_medium=twitter&amp;utm_campaign=social_share" TargetMode="External"/><Relationship Id="rId506" Type="http://schemas.openxmlformats.org/officeDocument/2006/relationships/hyperlink" Target="https://pbs.twimg.com/media/Dsr5y46VAAISjrQ.jpg" TargetMode="External"/><Relationship Id="rId853" Type="http://schemas.openxmlformats.org/officeDocument/2006/relationships/hyperlink" Target="http://shr.gs/Y0Q62Jl" TargetMode="External"/><Relationship Id="rId1136" Type="http://schemas.openxmlformats.org/officeDocument/2006/relationships/hyperlink" Target="https://pbs.twimg.com/media/Dsq77oXWsAES0Vu.jpg" TargetMode="External"/><Relationship Id="rId1690" Type="http://schemas.openxmlformats.org/officeDocument/2006/relationships/hyperlink" Target="https://www.facebook.com/JCSura" TargetMode="External"/><Relationship Id="rId2534" Type="http://schemas.openxmlformats.org/officeDocument/2006/relationships/hyperlink" Target="http://www.granma.cu/mundo/2018-11-21/biografia-oficial-del-excmo-sr-pedro-sanchez-perez-castejon-presidente-del-gobierno-del-reino-de-espana-21-11-2018-20-11-30" TargetMode="External"/><Relationship Id="rId2741" Type="http://schemas.openxmlformats.org/officeDocument/2006/relationships/hyperlink" Target="https://bit.ly/2FAPBJ7" TargetMode="External"/><Relationship Id="rId713" Type="http://schemas.openxmlformats.org/officeDocument/2006/relationships/hyperlink" Target="http://youtu.be/5WicgQ7iG3E?a" TargetMode="External"/><Relationship Id="rId920" Type="http://schemas.openxmlformats.org/officeDocument/2006/relationships/hyperlink" Target="https://pbs.twimg.com/media/DsrLpIiXcAAwbQg.jpg" TargetMode="External"/><Relationship Id="rId1343" Type="http://schemas.openxmlformats.org/officeDocument/2006/relationships/hyperlink" Target="https://okdiario.com/espana/2018/11/21/sanchez-mando-coche-oficial-vacio-valladolid-hacer-8-kms-del-aeropuerto-ciudad-3377374" TargetMode="External"/><Relationship Id="rId1550" Type="http://schemas.openxmlformats.org/officeDocument/2006/relationships/hyperlink" Target="https://pbs.twimg.com/media/Dspku4eU0AA0CNP.jpg" TargetMode="External"/><Relationship Id="rId2601" Type="http://schemas.openxmlformats.org/officeDocument/2006/relationships/hyperlink" Target="https://www.periodistadigital.com/politica/partidos-politicos/2018/11/20/la-informacion-secreta-sobre-el-suegro-de-pedro-sanchez-que-le-hara-sudar-mas-que-en-una-sauna.shtml" TargetMode="External"/><Relationship Id="rId1203" Type="http://schemas.openxmlformats.org/officeDocument/2006/relationships/hyperlink" Target="https://okdiario.com/espana/2018/11/23/pedro-sanchez-reune-cupula-del-regimen-cubano-palacio-revolucion-3382388" TargetMode="External"/><Relationship Id="rId1410" Type="http://schemas.openxmlformats.org/officeDocument/2006/relationships/hyperlink" Target="https://pbs.twimg.com/media/DsqJEVfWwAUY1hP.jpg" TargetMode="External"/><Relationship Id="rId3168" Type="http://schemas.openxmlformats.org/officeDocument/2006/relationships/hyperlink" Target="http://www.rtve.es/alacarta/videos/telediario/" TargetMode="External"/><Relationship Id="rId3375" Type="http://schemas.openxmlformats.org/officeDocument/2006/relationships/hyperlink" Target="http://www.asajamurcia.com/noticia/201811/22/asaja-murcia-tilda-de-insostenible-la-situacion-de-los-camioneros-espanoles-en" TargetMode="External"/><Relationship Id="rId296" Type="http://schemas.openxmlformats.org/officeDocument/2006/relationships/hyperlink" Target="https://ift.tt/2Afms0m" TargetMode="External"/><Relationship Id="rId2184" Type="http://schemas.openxmlformats.org/officeDocument/2006/relationships/hyperlink" Target="http://wp.me/p76pmQ-rw" TargetMode="External"/><Relationship Id="rId2391" Type="http://schemas.openxmlformats.org/officeDocument/2006/relationships/hyperlink" Target="https://pbs.twimg.com/media/Dsi3dRxWoAAxqNa.jpg" TargetMode="External"/><Relationship Id="rId3028" Type="http://schemas.openxmlformats.org/officeDocument/2006/relationships/hyperlink" Target="https://pbs.twimg.com/media/DsnaM8XXcAEox96.jpg" TargetMode="External"/><Relationship Id="rId3235" Type="http://schemas.openxmlformats.org/officeDocument/2006/relationships/hyperlink" Target="http://www.slaymultimedios.com/" TargetMode="External"/><Relationship Id="rId3442" Type="http://schemas.openxmlformats.org/officeDocument/2006/relationships/hyperlink" Target="https://www.larazon.es/espana/pedro-sanchez-no-se-reunira-en-su-viaje-a-cuba-con-los-grupos-opositores-IH20630495" TargetMode="External"/><Relationship Id="rId156" Type="http://schemas.openxmlformats.org/officeDocument/2006/relationships/hyperlink" Target="http://www.abogadooneto.cl/" TargetMode="External"/><Relationship Id="rId363" Type="http://schemas.openxmlformats.org/officeDocument/2006/relationships/hyperlink" Target="http://www.forumlibertas.com/" TargetMode="External"/><Relationship Id="rId570" Type="http://schemas.openxmlformats.org/officeDocument/2006/relationships/hyperlink" Target="https://pbs.twimg.com/media/Dsr0aVHXQAALyo6.jpg" TargetMode="External"/><Relationship Id="rId2044" Type="http://schemas.openxmlformats.org/officeDocument/2006/relationships/hyperlink" Target="http://veoinfo.com/" TargetMode="External"/><Relationship Id="rId2251" Type="http://schemas.openxmlformats.org/officeDocument/2006/relationships/hyperlink" Target="https://okdiario.com/opinion/2018/11/22/indignidad-pedro-sanchez-borrell-3380779" TargetMode="External"/><Relationship Id="rId3302" Type="http://schemas.openxmlformats.org/officeDocument/2006/relationships/hyperlink" Target="http://caraotadigital.net/" TargetMode="External"/><Relationship Id="rId223" Type="http://schemas.openxmlformats.org/officeDocument/2006/relationships/hyperlink" Target="https://www.facebook.com/TuiteoElTocuyo" TargetMode="External"/><Relationship Id="rId430" Type="http://schemas.openxmlformats.org/officeDocument/2006/relationships/hyperlink" Target="http://pic.twitter.com/KaXRjxIYqY" TargetMode="External"/><Relationship Id="rId1060" Type="http://schemas.openxmlformats.org/officeDocument/2006/relationships/hyperlink" Target="http://www.appi-a.com/" TargetMode="External"/><Relationship Id="rId2111" Type="http://schemas.openxmlformats.org/officeDocument/2006/relationships/hyperlink" Target="http://20minutos.es/" TargetMode="External"/><Relationship Id="rId1877" Type="http://schemas.openxmlformats.org/officeDocument/2006/relationships/hyperlink" Target="https://noticiasvenezuela.org/2018/11/22/pedro-sanchez-jefe-del-gobierno-espanol-inicia-su-primera-visita-a-cuba/" TargetMode="External"/><Relationship Id="rId2928" Type="http://schemas.openxmlformats.org/officeDocument/2006/relationships/hyperlink" Target="https://www.infobae.com/america/fotos/2016/12/04/asi-es-el-mausoleo-donde-descansaran-los-restos-del-dictador-fidel-castro/" TargetMode="External"/><Relationship Id="rId1737" Type="http://schemas.openxmlformats.org/officeDocument/2006/relationships/hyperlink" Target="http://bit.ly/2AikDzQ" TargetMode="External"/><Relationship Id="rId1944" Type="http://schemas.openxmlformats.org/officeDocument/2006/relationships/hyperlink" Target="http://www.granma.cu/mundo/2018-11-21/biografia-oficial-del-excmo-sr-pedro-sanchez-perez-castejon-presidente-del-gobierno-del-reino-de-espana-21-11-2018-20-11-30" TargetMode="External"/><Relationship Id="rId3092" Type="http://schemas.openxmlformats.org/officeDocument/2006/relationships/hyperlink" Target="https://pbs.twimg.com/media/DsnSx3tWoAAHEL4.jpg" TargetMode="External"/><Relationship Id="rId29" Type="http://schemas.openxmlformats.org/officeDocument/2006/relationships/hyperlink" Target="http://www.radioreloj.cu/" TargetMode="External"/><Relationship Id="rId1804" Type="http://schemas.openxmlformats.org/officeDocument/2006/relationships/hyperlink" Target="http://tinyurl.com/yb99p62t" TargetMode="External"/><Relationship Id="rId897" Type="http://schemas.openxmlformats.org/officeDocument/2006/relationships/hyperlink" Target="https://bit.ly/2KpHaPN" TargetMode="External"/><Relationship Id="rId2578" Type="http://schemas.openxmlformats.org/officeDocument/2006/relationships/hyperlink" Target="https://cubamaintenant.wordpress.com/2018/11/22/presidente-de-espana-pedro-sanchez-inicia-hoy-su-visita-oficial-a-cuba/" TargetMode="External"/><Relationship Id="rId2785" Type="http://schemas.openxmlformats.org/officeDocument/2006/relationships/hyperlink" Target="https://youtu.be/-Du-CWASm20" TargetMode="External"/><Relationship Id="rId2992" Type="http://schemas.openxmlformats.org/officeDocument/2006/relationships/hyperlink" Target="https://okdiario.com/espana/2018/11/21/sanchez-mando-coche-oficial-vacio-valladolid-hacer-8-kms-del-aeropuerto-ciudad-3377374" TargetMode="External"/><Relationship Id="rId757" Type="http://schemas.openxmlformats.org/officeDocument/2006/relationships/hyperlink" Target="https://elpais.com/elpais/2018/11/22/eps/1542898694_034201.html" TargetMode="External"/><Relationship Id="rId964" Type="http://schemas.openxmlformats.org/officeDocument/2006/relationships/hyperlink" Target="http://eleanor-viviendo.blogspot.com/" TargetMode="External"/><Relationship Id="rId1387" Type="http://schemas.openxmlformats.org/officeDocument/2006/relationships/hyperlink" Target="https://pbs.twimg.com/media/DsqOu43XQAUipSx.jpg" TargetMode="External"/><Relationship Id="rId1594" Type="http://schemas.openxmlformats.org/officeDocument/2006/relationships/hyperlink" Target="http://ow.ly/FeZR30mIKrD" TargetMode="External"/><Relationship Id="rId2438" Type="http://schemas.openxmlformats.org/officeDocument/2006/relationships/hyperlink" Target="https://pbs.twimg.com/media/DsoR4lpU8AADBbI.jpg" TargetMode="External"/><Relationship Id="rId2645"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852" Type="http://schemas.openxmlformats.org/officeDocument/2006/relationships/hyperlink" Target="https://pbs.twimg.com/media/DsnpEYqX4AUW7R2.jpg" TargetMode="External"/><Relationship Id="rId93" Type="http://schemas.openxmlformats.org/officeDocument/2006/relationships/hyperlink" Target="http://tururutururu.com/" TargetMode="External"/><Relationship Id="rId617" Type="http://schemas.openxmlformats.org/officeDocument/2006/relationships/hyperlink" Target="https://pbs.twimg.com/media/DsrtwssXoAAOy8K.jpg" TargetMode="External"/><Relationship Id="rId824" Type="http://schemas.openxmlformats.org/officeDocument/2006/relationships/hyperlink" Target="https://twitter.com/VP_Espana/status/1065716537187868673" TargetMode="External"/><Relationship Id="rId1247" Type="http://schemas.openxmlformats.org/officeDocument/2006/relationships/hyperlink" Target="http://epmundo.com/" TargetMode="External"/><Relationship Id="rId1454" Type="http://schemas.openxmlformats.org/officeDocument/2006/relationships/hyperlink" Target="http://www.elperiodico.com/es/internacional/" TargetMode="External"/><Relationship Id="rId1661" Type="http://schemas.openxmlformats.org/officeDocument/2006/relationships/hyperlink" Target="https://bit.ly/2Rc0DpP" TargetMode="External"/><Relationship Id="rId2505" Type="http://schemas.openxmlformats.org/officeDocument/2006/relationships/hyperlink" Target="http://www.venceremos.cu/" TargetMode="External"/><Relationship Id="rId2712" Type="http://schemas.openxmlformats.org/officeDocument/2006/relationships/hyperlink" Target="http://www.periodistadigital.com/" TargetMode="External"/><Relationship Id="rId1107" Type="http://schemas.openxmlformats.org/officeDocument/2006/relationships/hyperlink" Target="https://pbs.twimg.com/media/Dsq9WyyWsAAtMGz.jpg" TargetMode="External"/><Relationship Id="rId1314" Type="http://schemas.openxmlformats.org/officeDocument/2006/relationships/hyperlink" Target="https://pbs.twimg.com/media/Dsqe20bXoAAEUSv.jpg" TargetMode="External"/><Relationship Id="rId1521" Type="http://schemas.openxmlformats.org/officeDocument/2006/relationships/hyperlink" Target="http://tinyurl.com/y7t68tmm" TargetMode="External"/><Relationship Id="rId3279" Type="http://schemas.openxmlformats.org/officeDocument/2006/relationships/hyperlink" Target="http://www.ppasamblea.es/" TargetMode="External"/><Relationship Id="rId3486" Type="http://schemas.openxmlformats.org/officeDocument/2006/relationships/hyperlink" Target="https://piramide5n.wordpress.com/" TargetMode="External"/><Relationship Id="rId20" Type="http://schemas.openxmlformats.org/officeDocument/2006/relationships/hyperlink" Target="https://bit.ly/2QljCB6" TargetMode="External"/><Relationship Id="rId2088" Type="http://schemas.openxmlformats.org/officeDocument/2006/relationships/hyperlink" Target="https://www.elconfidencial.com/espana/2018-11-22/telefonica-iberia-air-europa-ceo-empresas-pedro-sanchez-cuba_1663690/?utm_campaign=BotoneraWebapp&amp;utm_source=twitter&amp;utm_medium=social" TargetMode="External"/><Relationship Id="rId2295" Type="http://schemas.openxmlformats.org/officeDocument/2006/relationships/hyperlink" Target="http://www.que.es/" TargetMode="External"/><Relationship Id="rId3139" Type="http://schemas.openxmlformats.org/officeDocument/2006/relationships/hyperlink" Target="https://www.revistavanityfair.es/poder/articulos/visita-pedro-sanchez-cuba-felipe-gonzalez-fidel-castro-fraga-suarez/34767" TargetMode="External"/><Relationship Id="rId3346" Type="http://schemas.openxmlformats.org/officeDocument/2006/relationships/hyperlink" Target="http://j.mp/2Acjslm" TargetMode="External"/><Relationship Id="rId267" Type="http://schemas.openxmlformats.org/officeDocument/2006/relationships/hyperlink" Target="https://www.eldiario.es/politica/Gobierno-Sanchez-Consejo-Europeo-Gibraltar_0_838866473.html" TargetMode="External"/><Relationship Id="rId474" Type="http://schemas.openxmlformats.org/officeDocument/2006/relationships/hyperlink" Target="https://pbs.twimg.com/media/Dsr3x_kXgAAOVnl.jpg" TargetMode="External"/><Relationship Id="rId2155" Type="http://schemas.openxmlformats.org/officeDocument/2006/relationships/hyperlink" Target="https://www.20minutos.es/noticia/3499196/0/24-empresas-negocio-pedro-sanchez-cuba-poscastrista-visita/?utm_source=twitter.com&amp;utm_medium=socialshare&amp;utm_campaign=mobile_amp" TargetMode="External"/><Relationship Id="rId3553" Type="http://schemas.openxmlformats.org/officeDocument/2006/relationships/hyperlink" Target="http://chivocontratambor.wordpress.com/" TargetMode="External"/><Relationship Id="rId127" Type="http://schemas.openxmlformats.org/officeDocument/2006/relationships/hyperlink" Target="https://www.elconfidencial.com/espana/2018-11-23/psoe-borrell-sanchez-diaz-page-gobierno-rufian_1663606/?utm_source=twitter&amp;utm_medium=social&amp;utm_campaign=BotoneraWeb" TargetMode="External"/><Relationship Id="rId681" Type="http://schemas.openxmlformats.org/officeDocument/2006/relationships/hyperlink" Target="http://instagram.com/oxyymoron_" TargetMode="External"/><Relationship Id="rId2362" Type="http://schemas.openxmlformats.org/officeDocument/2006/relationships/hyperlink" Target="https://okdiario.com/espana/2018/11/21/sanchez-mando-coche-oficial-vacio-valladolid-hacer-8-kms-del-aeropuerto-ciudad-3377374" TargetMode="External"/><Relationship Id="rId3206" Type="http://schemas.openxmlformats.org/officeDocument/2006/relationships/hyperlink" Target="https://lapaseata.net/2018/11/22/socios-pedro-sanchez-degradan-democracia/" TargetMode="External"/><Relationship Id="rId3413" Type="http://schemas.openxmlformats.org/officeDocument/2006/relationships/hyperlink" Target="http://bit.ly/2qZfV5u" TargetMode="External"/><Relationship Id="rId334" Type="http://schemas.openxmlformats.org/officeDocument/2006/relationships/hyperlink" Target="https://pbs.twimg.com/media/DssKoSqWwAA1wSZ.jpg" TargetMode="External"/><Relationship Id="rId541" Type="http://schemas.openxmlformats.org/officeDocument/2006/relationships/hyperlink" Target="https://rafador8678.wordpress.com/2018/11/23/aviso-presidente-del-gobierno-pedro-sanchez-y-al-nuestro-lehendakari-inigo-urkullu/" TargetMode="External"/><Relationship Id="rId1171" Type="http://schemas.openxmlformats.org/officeDocument/2006/relationships/hyperlink" Target="https://elpais.com/internacional/2018/11/22/actualidad/1542914000_295410.html" TargetMode="External"/><Relationship Id="rId2015" Type="http://schemas.openxmlformats.org/officeDocument/2006/relationships/hyperlink" Target="http://noticiarioespanol.com/" TargetMode="External"/><Relationship Id="rId2222" Type="http://schemas.openxmlformats.org/officeDocument/2006/relationships/hyperlink" Target="https://www.elmundo.es/internacional/2018/11/22/5bf6b01b468aeb352a8b463a.html" TargetMode="External"/><Relationship Id="rId401" Type="http://schemas.openxmlformats.org/officeDocument/2006/relationships/hyperlink" Target="https://okdiario.com/espana/2018/11/22/gobierno-reconoce-que-tumba-franco-inviolable-sin-autorizacion-del-prior-3376567" TargetMode="External"/><Relationship Id="rId1031" Type="http://schemas.openxmlformats.org/officeDocument/2006/relationships/hyperlink" Target="https://www.elconfidencial.com/espana/2018-11-23/pedro-sanchez-adelanto-electoral-superdomingo-barones_1663322/" TargetMode="External"/><Relationship Id="rId1988" Type="http://schemas.openxmlformats.org/officeDocument/2006/relationships/hyperlink" Target="https://www.elmundo.es/espana/2018/11/21/5bf5ab23e2704ea02f8b4581.html" TargetMode="External"/><Relationship Id="rId1848" Type="http://schemas.openxmlformats.org/officeDocument/2006/relationships/hyperlink" Target="https://www.noticiasaldiayalahora.co/internacionales/pedro-sanchez-jefe-del-gobierno-espanol-inicia-su-primera-visita-a-cuba/" TargetMode="External"/><Relationship Id="rId3063" Type="http://schemas.openxmlformats.org/officeDocument/2006/relationships/hyperlink" Target="https://www.elconfidencial.com/multimedia/video/espana/2018-11-14/sesion-control-pedro-sanchez-casado-presupuesto-justicia_1646478/" TargetMode="External"/><Relationship Id="rId3270" Type="http://schemas.openxmlformats.org/officeDocument/2006/relationships/hyperlink" Target="http://www.esglobal.org/" TargetMode="External"/><Relationship Id="rId191" Type="http://schemas.openxmlformats.org/officeDocument/2006/relationships/hyperlink" Target="https://elpais.com/elpais/2018/11/22/opinion/1542908540_668282.html" TargetMode="External"/><Relationship Id="rId1708" Type="http://schemas.openxmlformats.org/officeDocument/2006/relationships/hyperlink" Target="http://informacionalhamaindependiente.blogspot.com.es/" TargetMode="External"/><Relationship Id="rId1915" Type="http://schemas.openxmlformats.org/officeDocument/2006/relationships/hyperlink" Target="https://gunow.vcoud.com/post/Pedro-Sanchez-jefe-del-gobierno-espanol-inicia-su-primera-visita-a-Cuba-La-Patilla" TargetMode="External"/><Relationship Id="rId3130" Type="http://schemas.openxmlformats.org/officeDocument/2006/relationships/hyperlink" Target="https://www.linkedin.com/in/luisserranobarrie/" TargetMode="External"/><Relationship Id="rId2689" Type="http://schemas.openxmlformats.org/officeDocument/2006/relationships/hyperlink" Target="https://pbs.twimg.com/media/Dsn0XwiWwAAxIFu.jpg" TargetMode="External"/><Relationship Id="rId2896" Type="http://schemas.openxmlformats.org/officeDocument/2006/relationships/hyperlink" Target="https://www.larazon.es/espana/pedro-sanchez-no-se-reunira-en-su-viaje-a-cuba-con-los-grupos-opositores-IH20630495" TargetMode="External"/><Relationship Id="rId868" Type="http://schemas.openxmlformats.org/officeDocument/2006/relationships/hyperlink" Target="http://pic.twitter.com/xvrcLfkF6o" TargetMode="External"/><Relationship Id="rId1498" Type="http://schemas.openxmlformats.org/officeDocument/2006/relationships/hyperlink" Target="http://martianos.ning.com/" TargetMode="External"/><Relationship Id="rId2549" Type="http://schemas.openxmlformats.org/officeDocument/2006/relationships/hyperlink" Target="http://pic.twitter.com/mpFWF7NKNY" TargetMode="External"/><Relationship Id="rId2756" Type="http://schemas.openxmlformats.org/officeDocument/2006/relationships/hyperlink" Target="https://pbs.twimg.com/media/DsnvTqxU4AID_3b.jpg" TargetMode="External"/><Relationship Id="rId2963" Type="http://schemas.openxmlformats.org/officeDocument/2006/relationships/hyperlink" Target="http://escanerdetamaulipas.com/" TargetMode="External"/><Relationship Id="rId728" Type="http://schemas.openxmlformats.org/officeDocument/2006/relationships/hyperlink" Target="http://www.radiogalega.gal/" TargetMode="External"/><Relationship Id="rId935" Type="http://schemas.openxmlformats.org/officeDocument/2006/relationships/hyperlink" Target="https://pbs.twimg.com/media/DsrLSAzXQAIMSvZ.jpg" TargetMode="External"/><Relationship Id="rId1358" Type="http://schemas.openxmlformats.org/officeDocument/2006/relationships/hyperlink" Target="https://www.elconfidencial.com/espana/2018-11-23/pedro-sanchez-adelanto-electoral-superdomingo-barones_1663322/" TargetMode="External"/><Relationship Id="rId1565" Type="http://schemas.openxmlformats.org/officeDocument/2006/relationships/hyperlink" Target="http://bit.ly/2S3cbeW" TargetMode="External"/><Relationship Id="rId1772" Type="http://schemas.openxmlformats.org/officeDocument/2006/relationships/hyperlink" Target="http://www.elestimulo.com/" TargetMode="External"/><Relationship Id="rId2409" Type="http://schemas.openxmlformats.org/officeDocument/2006/relationships/hyperlink" Target="https://www.libertaddigital.com/espana/2018-11-22/pedro-sanchez-viaja-a-cuba-para-rendir-pleitesia-al-regimen-castrista-1276628700/" TargetMode="External"/><Relationship Id="rId2616" Type="http://schemas.openxmlformats.org/officeDocument/2006/relationships/hyperlink" Target="https://laicismo.org/mas-filosofia-menos-religion-uso-del-castellano-estas-son-las-claves-de-la-reforma-educativa-de-sanchez/" TargetMode="External"/><Relationship Id="rId64" Type="http://schemas.openxmlformats.org/officeDocument/2006/relationships/hyperlink" Target="https://okdiario.com/economia/empresas/2018/11/23/sanchez-premia-constructora-investigada-caso-acuamed-lleva-avion-cuba-3380485" TargetMode="External"/><Relationship Id="rId1218" Type="http://schemas.openxmlformats.org/officeDocument/2006/relationships/hyperlink" Target="http://www.antena3.com/noticias/" TargetMode="External"/><Relationship Id="rId1425" Type="http://schemas.openxmlformats.org/officeDocument/2006/relationships/hyperlink" Target="https://sptnkne.ws/kdz4" TargetMode="External"/><Relationship Id="rId2823" Type="http://schemas.openxmlformats.org/officeDocument/2006/relationships/hyperlink" Target="https://www.huffingtonpost.es/2018/11/22/may-defendere-la-soberania-de-gibraltar_a_23597118/?utm_hp_ref=es-homepage" TargetMode="External"/><Relationship Id="rId1632" Type="http://schemas.openxmlformats.org/officeDocument/2006/relationships/hyperlink" Target="http://www.facebook.com/pilarmorillorocha" TargetMode="External"/><Relationship Id="rId2199" Type="http://schemas.openxmlformats.org/officeDocument/2006/relationships/hyperlink" Target="https://pbs.twimg.com/media/DsorKz3U8AAEJr-.jpg" TargetMode="External"/><Relationship Id="rId3457" Type="http://schemas.openxmlformats.org/officeDocument/2006/relationships/hyperlink" Target="http://www.pressdigital.es/" TargetMode="External"/><Relationship Id="rId378" Type="http://schemas.openxmlformats.org/officeDocument/2006/relationships/hyperlink" Target="https://pbs.twimg.com/media/DssF983WoAADDf0.jpg" TargetMode="External"/><Relationship Id="rId585" Type="http://schemas.openxmlformats.org/officeDocument/2006/relationships/hyperlink" Target="https://elpais.com/elpais/2018/11/22/opinion/1542908540_668282.html" TargetMode="External"/><Relationship Id="rId792" Type="http://schemas.openxmlformats.org/officeDocument/2006/relationships/hyperlink" Target="http://veoinfo.com/es" TargetMode="External"/><Relationship Id="rId2059" Type="http://schemas.openxmlformats.org/officeDocument/2006/relationships/hyperlink" Target="http://www.citizengo.org/hazteoir/166670-no-expolie-por-segunda-vez-archivo-salamanca?tc=tw&amp;tcid=52310073" TargetMode="External"/><Relationship Id="rId2266" Type="http://schemas.openxmlformats.org/officeDocument/2006/relationships/hyperlink" Target="http://about.me/margavidal" TargetMode="External"/><Relationship Id="rId2473" Type="http://schemas.openxmlformats.org/officeDocument/2006/relationships/hyperlink" Target="https://www.eldiario.es/_31d55cf9" TargetMode="External"/><Relationship Id="rId2680" Type="http://schemas.openxmlformats.org/officeDocument/2006/relationships/hyperlink" Target="http://about.me/Andy.Peor" TargetMode="External"/><Relationship Id="rId3317" Type="http://schemas.openxmlformats.org/officeDocument/2006/relationships/hyperlink" Target="https://okdiario.com/espana/2018/11/21/sanchez-mando-coche-oficial-vacio-valladolid-hacer-8-kms-del-aeropuerto-ciudad-3377374" TargetMode="External"/><Relationship Id="rId3524" Type="http://schemas.openxmlformats.org/officeDocument/2006/relationships/hyperlink" Target="https://pbs.twimg.com/media/DshJpj6XQAAAkBh.jpg" TargetMode="External"/><Relationship Id="rId238" Type="http://schemas.openxmlformats.org/officeDocument/2006/relationships/hyperlink" Target="https://www.europapress.es/nacional/noticia-casado-cree-pedro-sanchez-no-puede-seguir-presidente-si-tan-indigno-permitir-escupan-ministro-20181123131635.html" TargetMode="External"/><Relationship Id="rId445" Type="http://schemas.openxmlformats.org/officeDocument/2006/relationships/hyperlink" Target="http://bit.ly/2PQgkX0" TargetMode="External"/><Relationship Id="rId652" Type="http://schemas.openxmlformats.org/officeDocument/2006/relationships/hyperlink" Target="http://riazordeportivo.blogspot.com.es/" TargetMode="External"/><Relationship Id="rId1075" Type="http://schemas.openxmlformats.org/officeDocument/2006/relationships/hyperlink" Target="http://www.periodistalatino.com/" TargetMode="External"/><Relationship Id="rId1282" Type="http://schemas.openxmlformats.org/officeDocument/2006/relationships/hyperlink" Target="http://bit.ly/2Af0o5V" TargetMode="External"/><Relationship Id="rId2126" Type="http://schemas.openxmlformats.org/officeDocument/2006/relationships/hyperlink" Target="https://pbs.twimg.com/media/DsozV6YU4AAorCj.jpg" TargetMode="External"/><Relationship Id="rId2333" Type="http://schemas.openxmlformats.org/officeDocument/2006/relationships/hyperlink" Target="https://www.elmundo.es/internacional/2018/11/22/5bf6b01b468aeb352a8b463a.html" TargetMode="External"/><Relationship Id="rId2540" Type="http://schemas.openxmlformats.org/officeDocument/2006/relationships/hyperlink" Target="http://www.eldigitaldealbacete.com/" TargetMode="External"/><Relationship Id="rId305" Type="http://schemas.openxmlformats.org/officeDocument/2006/relationships/hyperlink" Target="https://www.facebook.com/canelatv/" TargetMode="External"/><Relationship Id="rId512" Type="http://schemas.openxmlformats.org/officeDocument/2006/relationships/hyperlink" Target="http://www.sumate.org/" TargetMode="External"/><Relationship Id="rId1142" Type="http://schemas.openxmlformats.org/officeDocument/2006/relationships/hyperlink" Target="http://www.elnacional.cat/es/" TargetMode="External"/><Relationship Id="rId2400" Type="http://schemas.openxmlformats.org/officeDocument/2006/relationships/hyperlink" Target="https://www.citizengo.org/hazteoir/166670-no-expolie-por-segunda-vez-archivo-salamanca" TargetMode="External"/><Relationship Id="rId1002" Type="http://schemas.openxmlformats.org/officeDocument/2006/relationships/hyperlink" Target="https://pbs.twimg.com/media/DsrFIMLWwAA-RF9.jpg" TargetMode="External"/><Relationship Id="rId1959" Type="http://schemas.openxmlformats.org/officeDocument/2006/relationships/hyperlink" Target="http://www.jordiblasi.com/" TargetMode="External"/><Relationship Id="rId3174" Type="http://schemas.openxmlformats.org/officeDocument/2006/relationships/hyperlink" Target="http://madridiario.es/" TargetMode="External"/><Relationship Id="rId1819" Type="http://schemas.openxmlformats.org/officeDocument/2006/relationships/hyperlink" Target="http://updatedb.webcindario.com/" TargetMode="External"/><Relationship Id="rId3381" Type="http://schemas.openxmlformats.org/officeDocument/2006/relationships/hyperlink" Target="http://cubaeconomica.com/" TargetMode="External"/><Relationship Id="rId2190" Type="http://schemas.openxmlformats.org/officeDocument/2006/relationships/hyperlink" Target="https://www.elmundo.es/espana/2018/11/21/5bf5ab23e2704ea02f8b4581.html" TargetMode="External"/><Relationship Id="rId3034" Type="http://schemas.openxmlformats.org/officeDocument/2006/relationships/hyperlink" Target="http://www.alertadigital.com/2018/11/19/pedro-sanchez-pasa-de-defender-la-exhumacion-de-franco-a-rendir-honores-al-tirano-hassan-ii-en-su-mausoleo-de-rabat/" TargetMode="External"/><Relationship Id="rId3241" Type="http://schemas.openxmlformats.org/officeDocument/2006/relationships/hyperlink" Target="http://mesigues.tesigo.com/" TargetMode="External"/><Relationship Id="rId162" Type="http://schemas.openxmlformats.org/officeDocument/2006/relationships/hyperlink" Target="https://es.euronews.com/2018/11/23/pedro-sanchez-en-cuba-un-viaje-sin-precendentes-en-tres-decadas" TargetMode="External"/><Relationship Id="rId2050" Type="http://schemas.openxmlformats.org/officeDocument/2006/relationships/hyperlink" Target="http://misiones.minrex.gob.cu/es/colombia" TargetMode="External"/><Relationship Id="rId3101" Type="http://schemas.openxmlformats.org/officeDocument/2006/relationships/hyperlink" Target="https://www.elsaltodiario.com/cuba/cuentos-cubanos-cronica-bloqueo-revolucion" TargetMode="External"/><Relationship Id="rId979" Type="http://schemas.openxmlformats.org/officeDocument/2006/relationships/hyperlink" Target="https://pbs.twimg.com/media/DsrHGSWV4AALNUp.jpg" TargetMode="External"/><Relationship Id="rId839" Type="http://schemas.openxmlformats.org/officeDocument/2006/relationships/hyperlink" Target="http://www.omnia.com.mx/noticia/88617/" TargetMode="External"/><Relationship Id="rId1469" Type="http://schemas.openxmlformats.org/officeDocument/2006/relationships/hyperlink" Target="https://twitter.com/VijilJosefina/status/1063634090535120896" TargetMode="External"/><Relationship Id="rId2867" Type="http://schemas.openxmlformats.org/officeDocument/2006/relationships/hyperlink" Target="http://www.huffingtonpost.es/" TargetMode="External"/><Relationship Id="rId601" Type="http://schemas.openxmlformats.org/officeDocument/2006/relationships/hyperlink" Target="https://www.youtube.com/channel/UCi_mC-XOCIJ1vTnv3nvqHyg" TargetMode="External"/><Relationship Id="rId1024" Type="http://schemas.openxmlformats.org/officeDocument/2006/relationships/hyperlink" Target="https://pbs.twimg.com/media/DsrEJJAX4AAEdD2.jpg" TargetMode="External"/><Relationship Id="rId1231" Type="http://schemas.openxmlformats.org/officeDocument/2006/relationships/hyperlink" Target="http://20minutos.es/" TargetMode="External"/><Relationship Id="rId1676" Type="http://schemas.openxmlformats.org/officeDocument/2006/relationships/hyperlink" Target="http://dlvr.it/Qrv1lD" TargetMode="External"/><Relationship Id="rId1883" Type="http://schemas.openxmlformats.org/officeDocument/2006/relationships/hyperlink" Target="https://www.elconfidencial.com/espana/2018-11-22/telefonica-iberia-air-europa-ceo-empresas-pedro-sanchez-cuba_1663690/" TargetMode="External"/><Relationship Id="rId2727" Type="http://schemas.openxmlformats.org/officeDocument/2006/relationships/hyperlink" Target="https://pbs.twimg.com/media/DsnydfuVsAA8ez-.jpg" TargetMode="External"/><Relationship Id="rId2934" Type="http://schemas.openxmlformats.org/officeDocument/2006/relationships/hyperlink" Target="https://www.elconfidencial.com/espana/cataluna/2018-11-21/erc-pide-pedro-sanchez-evite-elecciones_1658806/" TargetMode="External"/><Relationship Id="rId906" Type="http://schemas.openxmlformats.org/officeDocument/2006/relationships/hyperlink" Target="http://www.sevilla24horas.com/" TargetMode="External"/><Relationship Id="rId1329" Type="http://schemas.openxmlformats.org/officeDocument/2006/relationships/hyperlink" Target="http://u.afp.com/oVjZ" TargetMode="External"/><Relationship Id="rId1536" Type="http://schemas.openxmlformats.org/officeDocument/2006/relationships/hyperlink" Target="https://mundo.sputniknews.com/" TargetMode="External"/><Relationship Id="rId1743" Type="http://schemas.openxmlformats.org/officeDocument/2006/relationships/hyperlink" Target="http://globedia.com/" TargetMode="External"/><Relationship Id="rId1950" Type="http://schemas.openxmlformats.org/officeDocument/2006/relationships/hyperlink" Target="http://bit.ly/2PKuitn" TargetMode="External"/><Relationship Id="rId3196" Type="http://schemas.openxmlformats.org/officeDocument/2006/relationships/hyperlink" Target="http://www.elmundo.es/" TargetMode="External"/><Relationship Id="rId35" Type="http://schemas.openxmlformats.org/officeDocument/2006/relationships/hyperlink" Target="https://pbs.twimg.com/media/DssjOzxWsAE1tYM.jpg" TargetMode="External"/><Relationship Id="rId1603" Type="http://schemas.openxmlformats.org/officeDocument/2006/relationships/hyperlink" Target="https://www.prensa-latina.cu/index.php?o=rn&amp;id=230921&amp;SEO=diaz-canel-y-pedro-sanchez-encabezan-firma-de-memorandos" TargetMode="External"/><Relationship Id="rId1810" Type="http://schemas.openxmlformats.org/officeDocument/2006/relationships/hyperlink" Target="https://www.abc.es/internacional/abci-sanchez-derrocha-energia-exhumar-franco-y-viaja-cuba-para-mano-oprobiosa-dictadura-201811220309_noticia.html" TargetMode="External"/><Relationship Id="rId3056" Type="http://schemas.openxmlformats.org/officeDocument/2006/relationships/hyperlink" Target="https://www.elboletin.com/noticia/169484/nacional/el-pnv-no-cierra-la-puerta-a-los-presupuestos-y-culpa-a-rajoy-de-parte-del-varapalo-de-bruselas.html" TargetMode="External"/><Relationship Id="rId3263" Type="http://schemas.openxmlformats.org/officeDocument/2006/relationships/hyperlink" Target="https://www.elmundo.es/espana/2018/11/21/5bf59215268e3e21068b4592.html" TargetMode="External"/><Relationship Id="rId3470" Type="http://schemas.openxmlformats.org/officeDocument/2006/relationships/hyperlink" Target="https://bit.ly/2R2oJmz" TargetMode="External"/><Relationship Id="rId184" Type="http://schemas.openxmlformats.org/officeDocument/2006/relationships/hyperlink" Target="https://pbs.twimg.com/media/DssTrfIXgAUM6Om.jpg" TargetMode="External"/><Relationship Id="rId391" Type="http://schemas.openxmlformats.org/officeDocument/2006/relationships/hyperlink" Target="https://researchgate.net/profile/Oriol_Valles_Codina" TargetMode="External"/><Relationship Id="rId1908" Type="http://schemas.openxmlformats.org/officeDocument/2006/relationships/hyperlink" Target="https://noticias24mx.com/pedro-sanchez-jefe-del-gobierno-espanol-inicia-su-primera-visita-a-cuba/" TargetMode="External"/><Relationship Id="rId2072" Type="http://schemas.openxmlformats.org/officeDocument/2006/relationships/hyperlink" Target="http://atres.red/nkcnh1" TargetMode="External"/><Relationship Id="rId3123" Type="http://schemas.openxmlformats.org/officeDocument/2006/relationships/hyperlink" Target="http://www.infojaen.com/" TargetMode="External"/><Relationship Id="rId3568" Type="http://schemas.openxmlformats.org/officeDocument/2006/relationships/hyperlink" Target="http://politica.elpais.com/" TargetMode="External"/><Relationship Id="rId251" Type="http://schemas.openxmlformats.org/officeDocument/2006/relationships/hyperlink" Target="https://totbalears.com/" TargetMode="External"/><Relationship Id="rId489" Type="http://schemas.openxmlformats.org/officeDocument/2006/relationships/hyperlink" Target="http://www.hoyhonduras.news/" TargetMode="External"/><Relationship Id="rId696" Type="http://schemas.openxmlformats.org/officeDocument/2006/relationships/hyperlink" Target="https://www.esdiario.com/238194049/La-prensa-castrista-ya-trata-a-Pedro-Sanchez-de-aexcelentisimoa.html" TargetMode="External"/><Relationship Id="rId2377" Type="http://schemas.openxmlformats.org/officeDocument/2006/relationships/hyperlink" Target="https://www.periodistadigital.com/periodismo/prensa/2018/11/22/alfonso-ussia-borra-sonrisa-egolatra-sanchez-manda-volando-psiquiatrico.shtml" TargetMode="External"/><Relationship Id="rId2584" Type="http://schemas.openxmlformats.org/officeDocument/2006/relationships/hyperlink" Target="https://www.elmundo.es/internacional/2018/11/22/5bf6b01b468aeb352a8b463a.html" TargetMode="External"/><Relationship Id="rId2791" Type="http://schemas.openxmlformats.org/officeDocument/2006/relationships/hyperlink" Target="http://www.trabajadores.cu/" TargetMode="External"/><Relationship Id="rId3330" Type="http://schemas.openxmlformats.org/officeDocument/2006/relationships/hyperlink" Target="https://despiertaalfuturo.blogspot.com/2018/11/bruselas-desmonta-punto-por-punto-el.html" TargetMode="External"/><Relationship Id="rId3428" Type="http://schemas.openxmlformats.org/officeDocument/2006/relationships/hyperlink" Target="http://www.formulatv.com/" TargetMode="External"/><Relationship Id="rId349" Type="http://schemas.openxmlformats.org/officeDocument/2006/relationships/hyperlink" Target="https://okdiario.com/espana/2018/11/23/gobierno-elige-separatista-terribas-moderar-debate-sobre-40-anos-constitucion-3381573" TargetMode="External"/><Relationship Id="rId556" Type="http://schemas.openxmlformats.org/officeDocument/2006/relationships/hyperlink" Target="https://okdiario.com/espana/2018/11/23/pedro-sanchez-reune-cupula-del-regimen-cubano-palacio-revolucion-3382388/amp" TargetMode="External"/><Relationship Id="rId763" Type="http://schemas.openxmlformats.org/officeDocument/2006/relationships/hyperlink" Target="https://okdiario.com/espana/2018/11/21/sanchez-mando-coche-oficial-vacio-valladolid-hacer-8-kms-del-aeropuerto-ciudad-3377374" TargetMode="External"/><Relationship Id="rId1186" Type="http://schemas.openxmlformats.org/officeDocument/2006/relationships/hyperlink" Target="https://www.facebook.com/mvallejotv/videos/258459978170645/" TargetMode="External"/><Relationship Id="rId1393" Type="http://schemas.openxmlformats.org/officeDocument/2006/relationships/hyperlink" Target="https://www.instagram.com/p/BqgiKgBhNiQ/?utm_source=ig_twitter_share&amp;igshid=1a9s86xvea7xa" TargetMode="External"/><Relationship Id="rId2237" Type="http://schemas.openxmlformats.org/officeDocument/2006/relationships/hyperlink" Target="https://www.elmundo.es/internacional/2018/11/22/5bf6b01b468aeb352a8b463a.html" TargetMode="External"/><Relationship Id="rId2444" Type="http://schemas.openxmlformats.org/officeDocument/2006/relationships/hyperlink" Target="https://twitter.com/Miotroyo2parte/status/1065679498736271360" TargetMode="External"/><Relationship Id="rId2889" Type="http://schemas.openxmlformats.org/officeDocument/2006/relationships/hyperlink" Target="https://nuevarevolucion.es/pedro-sanchez-el-paso-atras-de-la-izquierda/" TargetMode="External"/><Relationship Id="rId111" Type="http://schemas.openxmlformats.org/officeDocument/2006/relationships/hyperlink" Target="http://veoinfo.com/" TargetMode="External"/><Relationship Id="rId209" Type="http://schemas.openxmlformats.org/officeDocument/2006/relationships/hyperlink" Target="https://pbs.twimg.com/media/DssR5rzWwAUxnnq.jpg" TargetMode="External"/><Relationship Id="rId416" Type="http://schemas.openxmlformats.org/officeDocument/2006/relationships/hyperlink" Target="https://okdiario.com/espana/2018/11/23/pedro-sanchez-reune-cupula-del-regimen-cubano-palacio-revolucion-3382388" TargetMode="External"/><Relationship Id="rId970" Type="http://schemas.openxmlformats.org/officeDocument/2006/relationships/hyperlink" Target="https://www.youtube.com/channel/UCt1Io3g7XUgEU0ELwC0Q0Wg" TargetMode="External"/><Relationship Id="rId1046" Type="http://schemas.openxmlformats.org/officeDocument/2006/relationships/hyperlink" Target="https://www.elconfidencial.com/espana/2018-11-23/pedro-sanchez-adelanto-electoral-superdomingo-barones_1663322/" TargetMode="External"/><Relationship Id="rId1253" Type="http://schemas.openxmlformats.org/officeDocument/2006/relationships/hyperlink" Target="https://www.libremercado.com/2018-11-22/la-comision-el-fmi-y-la-ocde-destrozan-la-politica-economica-de-sanchez-1276628717/" TargetMode="External"/><Relationship Id="rId1698" Type="http://schemas.openxmlformats.org/officeDocument/2006/relationships/hyperlink" Target="http://epmundo.com/2018/theresa-may-le-saca-las-garras-al-gobierno-de-pedro-sanchez/" TargetMode="External"/><Relationship Id="rId2651" Type="http://schemas.openxmlformats.org/officeDocument/2006/relationships/hyperlink" Target="https://www.periodistadigital.com/periodismo/tv/2018/11/22/ferreras-jefe-de-prensa-pedro-sanchez-rafa-hernando-gobierno-pp-borrell.shtml" TargetMode="External"/><Relationship Id="rId2749" Type="http://schemas.openxmlformats.org/officeDocument/2006/relationships/hyperlink" Target="http://www.youtube.com/channel/UCT6Zy6dkQsfxARRlPOjbn0A" TargetMode="External"/><Relationship Id="rId2956" Type="http://schemas.openxmlformats.org/officeDocument/2006/relationships/hyperlink" Target="https://www.libertaddigital.com/espana/2018-11-21/pedro-sanchez-pide-a-casado-y-rufian-que-pidan-discupas-por-el-escupitajo-de-erc-a-borell-1276628638/" TargetMode="External"/><Relationship Id="rId623" Type="http://schemas.openxmlformats.org/officeDocument/2006/relationships/hyperlink" Target="http://bit.ly/EP_Venezuela" TargetMode="External"/><Relationship Id="rId830" Type="http://schemas.openxmlformats.org/officeDocument/2006/relationships/hyperlink" Target="http://carlos-ortizdezarate.blogspot.com/" TargetMode="External"/><Relationship Id="rId928" Type="http://schemas.openxmlformats.org/officeDocument/2006/relationships/hyperlink" Target="http://ow.ly/i3nw30mIP1c" TargetMode="External"/><Relationship Id="rId1460" Type="http://schemas.openxmlformats.org/officeDocument/2006/relationships/hyperlink" Target="https://www.cibercuba.com/videos/noticias/2018-11-23-u1-e199291-s27061-pedro-sanchez-inicia-su-vista-habana-firma-acuerdos?utm_source=dlvr.it&amp;utm_medium=twitter&amp;utm_campaign=CiberCuba" TargetMode="External"/><Relationship Id="rId1558" Type="http://schemas.openxmlformats.org/officeDocument/2006/relationships/hyperlink" Target="http://bit.ly/2S3cBSy" TargetMode="External"/><Relationship Id="rId1765" Type="http://schemas.openxmlformats.org/officeDocument/2006/relationships/hyperlink" Target="http://dlvr.it/Qrtwcr" TargetMode="External"/><Relationship Id="rId2304" Type="http://schemas.openxmlformats.org/officeDocument/2006/relationships/hyperlink" Target="https://www.elmundo.es/espana/2018/11/21/5bf5ab23e2704ea02f8b4581.html" TargetMode="External"/><Relationship Id="rId2511" Type="http://schemas.openxmlformats.org/officeDocument/2006/relationships/hyperlink" Target="https://www.periodistadigital.com/periodismo/prensa/2018/11/22/alfonso-ussia-borra-sonrisa-egolatra-sanchez-manda-volando-psiquiatrico.shtml" TargetMode="External"/><Relationship Id="rId2609" Type="http://schemas.openxmlformats.org/officeDocument/2006/relationships/hyperlink" Target="https://m.youtube.com/watch?v=h7sAfRkP5SM" TargetMode="External"/><Relationship Id="rId57" Type="http://schemas.openxmlformats.org/officeDocument/2006/relationships/hyperlink" Target="https://ift.tt/2AfmOUK" TargetMode="External"/><Relationship Id="rId1113" Type="http://schemas.openxmlformats.org/officeDocument/2006/relationships/hyperlink" Target="https://www.vozpopuli.com/_4720099d" TargetMode="External"/><Relationship Id="rId1320" Type="http://schemas.openxmlformats.org/officeDocument/2006/relationships/hyperlink" Target="http://www.factornoticia.com/" TargetMode="External"/><Relationship Id="rId1418" Type="http://schemas.openxmlformats.org/officeDocument/2006/relationships/hyperlink" Target="http://www.cubadiplomatica.cu/haiti/ES/Inicio.aspx" TargetMode="External"/><Relationship Id="rId1972" Type="http://schemas.openxmlformats.org/officeDocument/2006/relationships/hyperlink" Target="http://chng.it/ZdJtfpcR" TargetMode="External"/><Relationship Id="rId2816" Type="http://schemas.openxmlformats.org/officeDocument/2006/relationships/hyperlink" Target="http://www.napoleoncampos.org/" TargetMode="External"/><Relationship Id="rId1625" Type="http://schemas.openxmlformats.org/officeDocument/2006/relationships/hyperlink" Target="http://oncenoticias.tv/" TargetMode="External"/><Relationship Id="rId1832" Type="http://schemas.openxmlformats.org/officeDocument/2006/relationships/hyperlink" Target="https://www.google.es/amp/s/m.eldiario.es/internacional/Bruselas-prefiere-Brexit-Gibraltar-declaracion_0_837816616.amp.html" TargetMode="External"/><Relationship Id="rId3078" Type="http://schemas.openxmlformats.org/officeDocument/2006/relationships/hyperlink" Target="https://pbs.twimg.com/media/DsnMdrRVYAAIeJ3.jpg" TargetMode="External"/><Relationship Id="rId3285" Type="http://schemas.openxmlformats.org/officeDocument/2006/relationships/hyperlink" Target="https://pbs.twimg.com/media/Dsm_HQuUcAED8Af.jpg" TargetMode="External"/><Relationship Id="rId3492" Type="http://schemas.openxmlformats.org/officeDocument/2006/relationships/hyperlink" Target="https://www.hechosdehoy.com/theresa-may-y-pedro-sanchez-larga-llamada-sobre-gibraltar-70270.htm" TargetMode="External"/><Relationship Id="rId2094" Type="http://schemas.openxmlformats.org/officeDocument/2006/relationships/hyperlink" Target="http://www.rtve.es/radio/radio-nacional/directo/" TargetMode="External"/><Relationship Id="rId3145" Type="http://schemas.openxmlformats.org/officeDocument/2006/relationships/hyperlink" Target="http://www.paconu&#241;ez.es/" TargetMode="External"/><Relationship Id="rId3352" Type="http://schemas.openxmlformats.org/officeDocument/2006/relationships/hyperlink" Target="http://www.odonelorza.com/" TargetMode="External"/><Relationship Id="rId273" Type="http://schemas.openxmlformats.org/officeDocument/2006/relationships/hyperlink" Target="https://en.wikipedia.org/wiki/United_States%E2%80%93Cuban_Thaw" TargetMode="External"/><Relationship Id="rId480" Type="http://schemas.openxmlformats.org/officeDocument/2006/relationships/hyperlink" Target="https://pbs.twimg.com/media/Dsr7FTnWsAAjNdj.jpg" TargetMode="External"/><Relationship Id="rId2161" Type="http://schemas.openxmlformats.org/officeDocument/2006/relationships/hyperlink" Target="https://www.elmundo.es/internacional/2018/11/22/5bf6b01b468aeb352a8b463a.html" TargetMode="External"/><Relationship Id="rId2399" Type="http://schemas.openxmlformats.org/officeDocument/2006/relationships/hyperlink" Target="https://elpais.com/internacional/2018/11/22/actualidad/1542891796_421870.html" TargetMode="External"/><Relationship Id="rId3005" Type="http://schemas.openxmlformats.org/officeDocument/2006/relationships/hyperlink" Target="https://www.hortanoticias.com/opinion-amparo-folgado-la-vuelta-al-mundo/" TargetMode="External"/><Relationship Id="rId3212" Type="http://schemas.openxmlformats.org/officeDocument/2006/relationships/hyperlink" Target="https://pbs.twimg.com/media/DshVN7TXoAAypeH.jpg" TargetMode="External"/><Relationship Id="rId133" Type="http://schemas.openxmlformats.org/officeDocument/2006/relationships/hyperlink" Target="https://www.discogs.com/user/OctopusOnFire/collection" TargetMode="External"/><Relationship Id="rId340" Type="http://schemas.openxmlformats.org/officeDocument/2006/relationships/hyperlink" Target="https://noticiasgibraltar.es/campo-gibraltar/noticias/3977/pablo-iglesias-no-apoyara-patrioterismos-extranos-gobierno-relacion" TargetMode="External"/><Relationship Id="rId578" Type="http://schemas.openxmlformats.org/officeDocument/2006/relationships/hyperlink" Target="http://www.youtube.com/channel/UCc8uhVRPtJLALl1VGB-f-qQ/videos?flow=grid&amp;view=0" TargetMode="External"/><Relationship Id="rId785" Type="http://schemas.openxmlformats.org/officeDocument/2006/relationships/hyperlink" Target="https://ift.tt/2BtbpCv" TargetMode="External"/><Relationship Id="rId992" Type="http://schemas.openxmlformats.org/officeDocument/2006/relationships/hyperlink" Target="http://www.facebook.com/fernando.jimenez.12720" TargetMode="External"/><Relationship Id="rId2021" Type="http://schemas.openxmlformats.org/officeDocument/2006/relationships/hyperlink" Target="https://actualidad.rt.com/" TargetMode="External"/><Relationship Id="rId2259" Type="http://schemas.openxmlformats.org/officeDocument/2006/relationships/hyperlink" Target="https://www.periodistadigital.com/periodismo/tv/2018/11/22/ferreras-jefe-de-prensa-pedro-sanchez-rafa-hernando-gobierno-pp-borrell.shtml" TargetMode="External"/><Relationship Id="rId2466" Type="http://schemas.openxmlformats.org/officeDocument/2006/relationships/hyperlink" Target="http://www.elmundo.es/internacional/2018/11/22/5bf6b01b468aeb352a8b463a.html" TargetMode="External"/><Relationship Id="rId2673" Type="http://schemas.openxmlformats.org/officeDocument/2006/relationships/hyperlink" Target="http://cjueloberoi.blogspot.com.es/" TargetMode="External"/><Relationship Id="rId2880" Type="http://schemas.openxmlformats.org/officeDocument/2006/relationships/hyperlink" Target="http://newspaperon.com/" TargetMode="External"/><Relationship Id="rId3517" Type="http://schemas.openxmlformats.org/officeDocument/2006/relationships/hyperlink" Target="http://www.cosasdeunabailarina.es/" TargetMode="External"/><Relationship Id="rId200" Type="http://schemas.openxmlformats.org/officeDocument/2006/relationships/hyperlink" Target="https://www.facebook.com/TuiteoAragua" TargetMode="External"/><Relationship Id="rId438" Type="http://schemas.openxmlformats.org/officeDocument/2006/relationships/hyperlink" Target="http://facebook.com/profile.php?id=100006317147425" TargetMode="External"/><Relationship Id="rId645" Type="http://schemas.openxmlformats.org/officeDocument/2006/relationships/hyperlink" Target="http://ow.ly/91Nh30mITEp" TargetMode="External"/><Relationship Id="rId852" Type="http://schemas.openxmlformats.org/officeDocument/2006/relationships/hyperlink" Target="http://revolutione.eu/" TargetMode="External"/><Relationship Id="rId1068" Type="http://schemas.openxmlformats.org/officeDocument/2006/relationships/hyperlink" Target="https://pbs.twimg.com/media/DsrB0fDWkAEebEU.jpg" TargetMode="External"/><Relationship Id="rId1275" Type="http://schemas.openxmlformats.org/officeDocument/2006/relationships/hyperlink" Target="http://www.t13.cl/noticia/mundo/pedro-sanchez-visita-cuba-pleno-proceso-apertura-economica" TargetMode="External"/><Relationship Id="rId1482" Type="http://schemas.openxmlformats.org/officeDocument/2006/relationships/hyperlink" Target="https://twitter.com/hermanntertsch/status/1065693079720640512" TargetMode="External"/><Relationship Id="rId2119" Type="http://schemas.openxmlformats.org/officeDocument/2006/relationships/hyperlink" Target="http://ow.ly/yMHN30mIG5s" TargetMode="External"/><Relationship Id="rId2326" Type="http://schemas.openxmlformats.org/officeDocument/2006/relationships/hyperlink" Target="https://twitter.com/gazpachoblog/status/826075433087201281" TargetMode="External"/><Relationship Id="rId2533" Type="http://schemas.openxmlformats.org/officeDocument/2006/relationships/hyperlink" Target="http://www.citizengo.org/hazteoir/166670-no-expolie-por-segunda-vez-archivo-salamanca?tc=tw&amp;tcid=52307307" TargetMode="External"/><Relationship Id="rId2740" Type="http://schemas.openxmlformats.org/officeDocument/2006/relationships/hyperlink" Target="http://www.minrex.gob.cu/" TargetMode="External"/><Relationship Id="rId2978" Type="http://schemas.openxmlformats.org/officeDocument/2006/relationships/hyperlink" Target="http://tinyurl.com/ybedd26x" TargetMode="External"/><Relationship Id="rId505" Type="http://schemas.openxmlformats.org/officeDocument/2006/relationships/hyperlink" Target="http://masfm935.com.ar/pedro-sanchez-hablo-con-theresa-may-y-reitero-que-hara-espana-si-no-hay-cambios-sobre-gibraltar-vetaremos-el-brexit/" TargetMode="External"/><Relationship Id="rId712" Type="http://schemas.openxmlformats.org/officeDocument/2006/relationships/hyperlink" Target="https://elpais.com/elpais/2018/11/22/opinion/1542908540_668282.html" TargetMode="External"/><Relationship Id="rId1135" Type="http://schemas.openxmlformats.org/officeDocument/2006/relationships/hyperlink" Target="http://www.blog-pacoestevez.es/" TargetMode="External"/><Relationship Id="rId1342" Type="http://schemas.openxmlformats.org/officeDocument/2006/relationships/hyperlink" Target="https://peliculasdeactualidad.wordpress.com/" TargetMode="External"/><Relationship Id="rId1787" Type="http://schemas.openxmlformats.org/officeDocument/2006/relationships/hyperlink" Target="http://j.mp/2FAPBsH" TargetMode="External"/><Relationship Id="rId1994" Type="http://schemas.openxmlformats.org/officeDocument/2006/relationships/hyperlink" Target="https://okdiario.com/espana/2018/11/21/pedro-sanchez-no-reunira-oposicion-viaje-cuba-3377734" TargetMode="External"/><Relationship Id="rId2838" Type="http://schemas.openxmlformats.org/officeDocument/2006/relationships/hyperlink" Target="https://radiovertientes.wordpress.com/" TargetMode="External"/><Relationship Id="rId79" Type="http://schemas.openxmlformats.org/officeDocument/2006/relationships/hyperlink" Target="http://franciscocamps.blogspot.com/" TargetMode="External"/><Relationship Id="rId1202" Type="http://schemas.openxmlformats.org/officeDocument/2006/relationships/hyperlink" Target="http://www.cope.es/" TargetMode="External"/><Relationship Id="rId1647" Type="http://schemas.openxmlformats.org/officeDocument/2006/relationships/hyperlink" Target="http://ow.ly/Oui730mIIMZ" TargetMode="External"/><Relationship Id="rId1854" Type="http://schemas.openxmlformats.org/officeDocument/2006/relationships/hyperlink" Target="http://www.radiobaracoa.icrt.cu/" TargetMode="External"/><Relationship Id="rId2600" Type="http://schemas.openxmlformats.org/officeDocument/2006/relationships/hyperlink" Target="http://www.citizengo.org/hazteoir/166670-no-expolie-por-segunda-vez-archivo-salamanca?tc=tw&amp;tcid=52306761" TargetMode="External"/><Relationship Id="rId2905" Type="http://schemas.openxmlformats.org/officeDocument/2006/relationships/hyperlink" Target="https://josetivi.wordpress.com/" TargetMode="External"/><Relationship Id="rId1507" Type="http://schemas.openxmlformats.org/officeDocument/2006/relationships/hyperlink" Target="https://interactive.news.sky.com/2017/brexit-countdown/" TargetMode="External"/><Relationship Id="rId1714" Type="http://schemas.openxmlformats.org/officeDocument/2006/relationships/hyperlink" Target="https://www.20minutos.es/noticia/3499202/0/pedro-sanchez-viaje-cuba-reunion-diaz-canel-habana-llega/" TargetMode="External"/><Relationship Id="rId3167" Type="http://schemas.openxmlformats.org/officeDocument/2006/relationships/hyperlink" Target="https://pbs.twimg.com/media/DsnMwLRVAAExjrK.jpg" TargetMode="External"/><Relationship Id="rId295" Type="http://schemas.openxmlformats.org/officeDocument/2006/relationships/hyperlink" Target="http://cicalife.info/" TargetMode="External"/><Relationship Id="rId1921" Type="http://schemas.openxmlformats.org/officeDocument/2006/relationships/hyperlink" Target="https://twitter.com/Interneitor/status/1065734210651066368" TargetMode="External"/><Relationship Id="rId3374" Type="http://schemas.openxmlformats.org/officeDocument/2006/relationships/hyperlink" Target="https://amp.elmundo.es/andalucia/2018/11/21/5bf597c7e2704e03438b47b8.html?__twitter_impression=true" TargetMode="External"/><Relationship Id="rId3581" Type="http://schemas.openxmlformats.org/officeDocument/2006/relationships/hyperlink" Target="http://www.facebook.com/groups/yosoynaranjito" TargetMode="External"/><Relationship Id="rId2183" Type="http://schemas.openxmlformats.org/officeDocument/2006/relationships/hyperlink" Target="http://www.falange-autentica.es/" TargetMode="External"/><Relationship Id="rId2390" Type="http://schemas.openxmlformats.org/officeDocument/2006/relationships/hyperlink" Target="https://twitter.com/LaLupaJudicial/status/1065303029149241344" TargetMode="External"/><Relationship Id="rId2488" Type="http://schemas.openxmlformats.org/officeDocument/2006/relationships/hyperlink" Target="https://www.instagram.com/ajcrossfitwero/" TargetMode="External"/><Relationship Id="rId3027" Type="http://schemas.openxmlformats.org/officeDocument/2006/relationships/hyperlink" Target="http://www.diariodepozuelo.es/" TargetMode="External"/><Relationship Id="rId3234" Type="http://schemas.openxmlformats.org/officeDocument/2006/relationships/hyperlink" Target="http://bit.ly/2FBlzVM" TargetMode="External"/><Relationship Id="rId3441" Type="http://schemas.openxmlformats.org/officeDocument/2006/relationships/hyperlink" Target="http://www.bolsamania.com/" TargetMode="External"/><Relationship Id="rId155" Type="http://schemas.openxmlformats.org/officeDocument/2006/relationships/hyperlink" Target="https://twitter.com/jschaulsohn/status/1065910969174552576" TargetMode="External"/><Relationship Id="rId362" Type="http://schemas.openxmlformats.org/officeDocument/2006/relationships/hyperlink" Target="http://www.forumlibertas.com/el-fin-de-las-nucleares-ponen-en-peligro-al-coche-electrico/" TargetMode="External"/><Relationship Id="rId1297" Type="http://schemas.openxmlformats.org/officeDocument/2006/relationships/hyperlink" Target="https://fr.euronews.com/2018/11/23/cuba-visite-historique-de-pedro-sanchez" TargetMode="External"/><Relationship Id="rId2043" Type="http://schemas.openxmlformats.org/officeDocument/2006/relationships/hyperlink" Target="https://pbs.twimg.com/media/Dso6a0PVAAIP7Yx.jpg" TargetMode="External"/><Relationship Id="rId2250" Type="http://schemas.openxmlformats.org/officeDocument/2006/relationships/hyperlink" Target="http://www.partidofamiliayvida.es/" TargetMode="External"/><Relationship Id="rId2695" Type="http://schemas.openxmlformats.org/officeDocument/2006/relationships/hyperlink" Target="http://www.agronewscastillayleon.com/" TargetMode="External"/><Relationship Id="rId3301" Type="http://schemas.openxmlformats.org/officeDocument/2006/relationships/hyperlink" Target="http://bit.ly/2QZhagw" TargetMode="External"/><Relationship Id="rId3539" Type="http://schemas.openxmlformats.org/officeDocument/2006/relationships/hyperlink" Target="https://www.efedocanalisis.com/noticia/pedro-sanchez-tercer-presidente-espanol-visita-oficialmente-cuba/" TargetMode="External"/><Relationship Id="rId222" Type="http://schemas.openxmlformats.org/officeDocument/2006/relationships/hyperlink" Target="http://bit.ly/2DCSpmy" TargetMode="External"/><Relationship Id="rId667" Type="http://schemas.openxmlformats.org/officeDocument/2006/relationships/hyperlink" Target="https://www.periodistadigital.com/periodismo/prensa/2018/11/23/escupitajo-elpais-oposicion-cubana-elogiando-pedro-sanchez-no-reuna-diaz-canel-brexit-gibraltar-borrell.shtml" TargetMode="External"/><Relationship Id="rId874" Type="http://schemas.openxmlformats.org/officeDocument/2006/relationships/hyperlink" Target="http://about.me/raul.sanchez" TargetMode="External"/><Relationship Id="rId2110" Type="http://schemas.openxmlformats.org/officeDocument/2006/relationships/hyperlink" Target="https://pbs.twimg.com/media/Dso0__LVYAAMu9c.jpg" TargetMode="External"/><Relationship Id="rId2348" Type="http://schemas.openxmlformats.org/officeDocument/2006/relationships/hyperlink" Target="http://about.me/lacajadelachina" TargetMode="External"/><Relationship Id="rId2555" Type="http://schemas.openxmlformats.org/officeDocument/2006/relationships/hyperlink" Target="http://ow.ly/srLj30mI7fL" TargetMode="External"/><Relationship Id="rId2762" Type="http://schemas.openxmlformats.org/officeDocument/2006/relationships/hyperlink" Target="https://pbs.twimg.com/media/DsnvTqxU4AID_3b.jpg" TargetMode="External"/><Relationship Id="rId527" Type="http://schemas.openxmlformats.org/officeDocument/2006/relationships/hyperlink" Target="https://pbs.twimg.com/media/Dsr5EayWoAAjXTw.jpg" TargetMode="External"/><Relationship Id="rId734" Type="http://schemas.openxmlformats.org/officeDocument/2006/relationships/hyperlink" Target="https://ift.tt/2R7IVDL" TargetMode="External"/><Relationship Id="rId941" Type="http://schemas.openxmlformats.org/officeDocument/2006/relationships/hyperlink" Target="http://www.facebook.com/pilarmorillorocha" TargetMode="External"/><Relationship Id="rId1157" Type="http://schemas.openxmlformats.org/officeDocument/2006/relationships/hyperlink" Target="https://www.periodistadigital.com/periodismo/tv/2018/11/22/ferreras-jefe-de-prensa-pedro-sanchez-rafa-hernando-gobierno-pp-borrell.shtml" TargetMode="External"/><Relationship Id="rId1364" Type="http://schemas.openxmlformats.org/officeDocument/2006/relationships/hyperlink" Target="https://ift.tt/2S5nXWb" TargetMode="External"/><Relationship Id="rId1571" Type="http://schemas.openxmlformats.org/officeDocument/2006/relationships/hyperlink" Target="https://www.slaymultimedios.com/presidente-cubano-diaz-canel-recibe-a-su-homologo-espanol-pedro-sanchez/" TargetMode="External"/><Relationship Id="rId2208" Type="http://schemas.openxmlformats.org/officeDocument/2006/relationships/hyperlink" Target="http://ver.abc.es/zirj12" TargetMode="External"/><Relationship Id="rId2415" Type="http://schemas.openxmlformats.org/officeDocument/2006/relationships/hyperlink" Target="https://nuevarevolucion.es/pedro-sanchez-el-paso-atras-de-la-izquierda/" TargetMode="External"/><Relationship Id="rId2622" Type="http://schemas.openxmlformats.org/officeDocument/2006/relationships/hyperlink" Target="http://ow.ly/B5BE30mIabq" TargetMode="External"/><Relationship Id="rId70" Type="http://schemas.openxmlformats.org/officeDocument/2006/relationships/hyperlink" Target="https://www.europapress.es/nacional/noticia-pablo-iglesias-asegura-no-apoyara-pedro-sanchez-patrioterismos-extranos-relacion-gibraltar-20181123115328.html" TargetMode="External"/><Relationship Id="rId801" Type="http://schemas.openxmlformats.org/officeDocument/2006/relationships/hyperlink" Target="http://pic.twitter.com/2X3adgof8S" TargetMode="External"/><Relationship Id="rId1017" Type="http://schemas.openxmlformats.org/officeDocument/2006/relationships/hyperlink" Target="http://rtve.es/a/4854124" TargetMode="External"/><Relationship Id="rId1224" Type="http://schemas.openxmlformats.org/officeDocument/2006/relationships/hyperlink" Target="https://www.elindependiente.com/politica/2018/11/22/sanchez-gibraltar-no-cambios-vetaremos-brexit/?utm_source=share_buttons&amp;utm_medium=twitter&amp;utm_campaign=social_share" TargetMode="External"/><Relationship Id="rId1431" Type="http://schemas.openxmlformats.org/officeDocument/2006/relationships/hyperlink" Target="https://goo.gl/wLZXnm" TargetMode="External"/><Relationship Id="rId1669" Type="http://schemas.openxmlformats.org/officeDocument/2006/relationships/hyperlink" Target="http://bit.ly/2FF9gHV" TargetMode="External"/><Relationship Id="rId1876" Type="http://schemas.openxmlformats.org/officeDocument/2006/relationships/hyperlink" Target="http://www.sumarium.es/" TargetMode="External"/><Relationship Id="rId2927" Type="http://schemas.openxmlformats.org/officeDocument/2006/relationships/hyperlink" Target="https://www.elmundo.es/internacional/2018/11/22/5bf6b01b468aeb352a8b463a.html" TargetMode="External"/><Relationship Id="rId3091" Type="http://schemas.openxmlformats.org/officeDocument/2006/relationships/hyperlink" Target="https://elgabinetedelascuriosidades.com/" TargetMode="External"/><Relationship Id="rId1529" Type="http://schemas.openxmlformats.org/officeDocument/2006/relationships/hyperlink" Target="http://espanol.almayadeen.net/" TargetMode="External"/><Relationship Id="rId1736" Type="http://schemas.openxmlformats.org/officeDocument/2006/relationships/hyperlink" Target="http://www.noticierodigital.com/" TargetMode="External"/><Relationship Id="rId1943" Type="http://schemas.openxmlformats.org/officeDocument/2006/relationships/hyperlink" Target="https://pbs.twimg.com/media/DspC7FPUcAAPzYC.jpg" TargetMode="External"/><Relationship Id="rId3189" Type="http://schemas.openxmlformats.org/officeDocument/2006/relationships/hyperlink" Target="http://www.eldia.com.do/" TargetMode="External"/><Relationship Id="rId3396" Type="http://schemas.openxmlformats.org/officeDocument/2006/relationships/hyperlink" Target="https://www.facebook.com/Me-lo-dices-o-me-lo-cuentas-Te-lo-cuento-1209658342506537/" TargetMode="External"/><Relationship Id="rId28" Type="http://schemas.openxmlformats.org/officeDocument/2006/relationships/hyperlink" Target="https://pbs.twimg.com/media/DssjJ63VYAEyVPb.jpg" TargetMode="External"/><Relationship Id="rId1803" Type="http://schemas.openxmlformats.org/officeDocument/2006/relationships/hyperlink" Target="https://www.facebook.com/Germ%C3%A1n-Margheritti-275371036175792/" TargetMode="External"/><Relationship Id="rId3049" Type="http://schemas.openxmlformats.org/officeDocument/2006/relationships/hyperlink" Target="http://dlvr.it/QrsBcn" TargetMode="External"/><Relationship Id="rId3256" Type="http://schemas.openxmlformats.org/officeDocument/2006/relationships/hyperlink" Target="https://bit.ly/2PPh7HP" TargetMode="External"/><Relationship Id="rId3463" Type="http://schemas.openxmlformats.org/officeDocument/2006/relationships/hyperlink" Target="https://facebook.com/EspanaUnaNacion" TargetMode="External"/><Relationship Id="rId177" Type="http://schemas.openxmlformats.org/officeDocument/2006/relationships/hyperlink" Target="https://twitter.com/diazcanelb/status/1065930002380845056" TargetMode="External"/><Relationship Id="rId384" Type="http://schemas.openxmlformats.org/officeDocument/2006/relationships/hyperlink" Target="https://www.facebook.com/pages/Los-Caballeros-de-la-Orden-de-Toledo/389811014437560" TargetMode="External"/><Relationship Id="rId591" Type="http://schemas.openxmlformats.org/officeDocument/2006/relationships/hyperlink" Target="https://es.rt.com/6cus" TargetMode="External"/><Relationship Id="rId2065" Type="http://schemas.openxmlformats.org/officeDocument/2006/relationships/hyperlink" Target="https://elpais.com/politica/2018/11/21/actualidad/1542810485_448113.html?id_externo_rsoc=TW_CC" TargetMode="External"/><Relationship Id="rId2272" Type="http://schemas.openxmlformats.org/officeDocument/2006/relationships/hyperlink" Target="https://okdiario.com/opinion/2018/11/22/indignidad-pedro-sanchez-borrell-3380779" TargetMode="External"/><Relationship Id="rId3116" Type="http://schemas.openxmlformats.org/officeDocument/2006/relationships/hyperlink" Target="http://dlvr.it/Qrs5rX" TargetMode="External"/><Relationship Id="rId244" Type="http://schemas.openxmlformats.org/officeDocument/2006/relationships/hyperlink" Target="https://youtu.be/C4hpa5dCKAo" TargetMode="External"/><Relationship Id="rId689" Type="http://schemas.openxmlformats.org/officeDocument/2006/relationships/hyperlink" Target="http://veoinfo.com/" TargetMode="External"/><Relationship Id="rId896" Type="http://schemas.openxmlformats.org/officeDocument/2006/relationships/hyperlink" Target="http://lapatilla.com/" TargetMode="External"/><Relationship Id="rId1081" Type="http://schemas.openxmlformats.org/officeDocument/2006/relationships/hyperlink" Target="https://laeducacion.us/pedro-sanchez-primer-jefe-de-gobierno-espanol-en-visitar-cuba/" TargetMode="External"/><Relationship Id="rId2577" Type="http://schemas.openxmlformats.org/officeDocument/2006/relationships/hyperlink" Target="http://www.trabajadores.cu/" TargetMode="External"/><Relationship Id="rId2784" Type="http://schemas.openxmlformats.org/officeDocument/2006/relationships/hyperlink" Target="https://www.hispanidad.com/confidencial/la-espana-cainita-de-pedro-sanchez-esto-empieza-a-parecerse-a-la-ii-republica_12005657_102.html" TargetMode="External"/><Relationship Id="rId3323" Type="http://schemas.openxmlformats.org/officeDocument/2006/relationships/hyperlink" Target="https://www.elconfidencialdigital.com/articulo/dinero/primer-decretazo-pedro-sanchez-subida-300-euros-funcionarios/20181119192406118305.html" TargetMode="External"/><Relationship Id="rId3530" Type="http://schemas.openxmlformats.org/officeDocument/2006/relationships/hyperlink" Target="https://okdiario.com/espana/2018/11/21/ejercito-del-aire-tres-aviones-pedro-sanchez-3373984" TargetMode="External"/><Relationship Id="rId451" Type="http://schemas.openxmlformats.org/officeDocument/2006/relationships/hyperlink" Target="https://pbs.twimg.com/media/Dsr9ubiWoAABK3s.jpg" TargetMode="External"/><Relationship Id="rId549" Type="http://schemas.openxmlformats.org/officeDocument/2006/relationships/hyperlink" Target="http://www.elmundo.es/opinion.html" TargetMode="External"/><Relationship Id="rId756" Type="http://schemas.openxmlformats.org/officeDocument/2006/relationships/hyperlink" Target="http://espanol.almayadeen.net/" TargetMode="External"/><Relationship Id="rId1179" Type="http://schemas.openxmlformats.org/officeDocument/2006/relationships/hyperlink" Target="https://www.facebook.com/MonarquiaEspanola" TargetMode="External"/><Relationship Id="rId1386" Type="http://schemas.openxmlformats.org/officeDocument/2006/relationships/hyperlink" Target="http://www.radioreloj.cu/es/destacadas/encabezan-diaz-canel-pedro-sanchez-firma-memorandos-fotos/" TargetMode="External"/><Relationship Id="rId1593" Type="http://schemas.openxmlformats.org/officeDocument/2006/relationships/hyperlink" Target="http://www.periodistadigital.com/reinformacionbalear/" TargetMode="External"/><Relationship Id="rId2132" Type="http://schemas.openxmlformats.org/officeDocument/2006/relationships/hyperlink" Target="http://esperanzaescribano.com/" TargetMode="External"/><Relationship Id="rId2437" Type="http://schemas.openxmlformats.org/officeDocument/2006/relationships/hyperlink" Target="http://www.pressdigital.es/" TargetMode="External"/><Relationship Id="rId2991" Type="http://schemas.openxmlformats.org/officeDocument/2006/relationships/hyperlink" Target="http://www.pp-asturias.com/" TargetMode="External"/><Relationship Id="rId104" Type="http://schemas.openxmlformats.org/officeDocument/2006/relationships/hyperlink" Target="http://www.gaceta.es/" TargetMode="External"/><Relationship Id="rId311" Type="http://schemas.openxmlformats.org/officeDocument/2006/relationships/hyperlink" Target="https://www.prensa-latina.cu/index.php?o=rn&amp;id=230921&amp;SEO=diaz-canel-y-pedro-sanchez-encabezan-firma-de-memorandos-fotos" TargetMode="External"/><Relationship Id="rId409" Type="http://schemas.openxmlformats.org/officeDocument/2006/relationships/hyperlink" Target="https://www.libertaddigital.com/espana/2018-11-23/iglesias-baja-los-humos-a-carmena-no-hubiera-sido-alcaldesa-si-no-la-hubieramos-propuesto-1276628725/" TargetMode="External"/><Relationship Id="rId963" Type="http://schemas.openxmlformats.org/officeDocument/2006/relationships/hyperlink" Target="https://www.publico.es/internacional/espana-planta-brexit-y-dice-ve-impensable-acuerdo-27.html" TargetMode="External"/><Relationship Id="rId1039" Type="http://schemas.openxmlformats.org/officeDocument/2006/relationships/hyperlink" Target="http://www.eleconomista.es/" TargetMode="External"/><Relationship Id="rId1246" Type="http://schemas.openxmlformats.org/officeDocument/2006/relationships/hyperlink" Target="https://pbs.twimg.com/media/DsqqenmWkAAz9dF.jpg" TargetMode="External"/><Relationship Id="rId1898" Type="http://schemas.openxmlformats.org/officeDocument/2006/relationships/hyperlink" Target="http://ow.ly/PKDf30mIHtq" TargetMode="External"/><Relationship Id="rId2644" Type="http://schemas.openxmlformats.org/officeDocument/2006/relationships/hyperlink" Target="https://www.elconfidencialdigital.com/articulo/dinero/primer-decretazo-pedro-sanchez-subida-300-euros-funcionarios/20181119192406118305.htmlv" TargetMode="External"/><Relationship Id="rId2851" Type="http://schemas.openxmlformats.org/officeDocument/2006/relationships/hyperlink" Target="http://tinyurl.com/y9gjrqk6" TargetMode="External"/><Relationship Id="rId2949" Type="http://schemas.openxmlformats.org/officeDocument/2006/relationships/hyperlink" Target="http://www.multiforo.eu/" TargetMode="External"/><Relationship Id="rId92" Type="http://schemas.openxmlformats.org/officeDocument/2006/relationships/hyperlink" Target="http://www.elcorreodelsol.com/" TargetMode="External"/><Relationship Id="rId616" Type="http://schemas.openxmlformats.org/officeDocument/2006/relationships/hyperlink" Target="https://www.cope.es/emisoras/andalucia/jaen-provincia/jaen/audios/ponencia-sobre-deteccion-precoz-cancer-mama-colon-20181123_582891" TargetMode="External"/><Relationship Id="rId823" Type="http://schemas.openxmlformats.org/officeDocument/2006/relationships/hyperlink" Target="https://www.elcritico.org/" TargetMode="External"/><Relationship Id="rId1453" Type="http://schemas.openxmlformats.org/officeDocument/2006/relationships/hyperlink" Target="http://elperiodi.co/_mvod1" TargetMode="External"/><Relationship Id="rId1660" Type="http://schemas.openxmlformats.org/officeDocument/2006/relationships/hyperlink" Target="http://bit.ly/2Ady9EO" TargetMode="External"/><Relationship Id="rId1758" Type="http://schemas.openxmlformats.org/officeDocument/2006/relationships/hyperlink" Target="http://www.noticierodigital.com/2018/11/pedro-sanchez-llego-cuba-se-reunira-diaz-canel/" TargetMode="External"/><Relationship Id="rId2504" Type="http://schemas.openxmlformats.org/officeDocument/2006/relationships/hyperlink" Target="https://pbs.twimg.com/media/DsoJ1IMUcAAXRYj.jpg" TargetMode="External"/><Relationship Id="rId2711" Type="http://schemas.openxmlformats.org/officeDocument/2006/relationships/hyperlink" Target="https://www.periodistadigital.com/periodismo/tv/2018/11/22/ferreras-jefe-de-prensa-pedro-sanchez-rafa-hernando-gobierno-pp-borrell.shtml" TargetMode="External"/><Relationship Id="rId2809" Type="http://schemas.openxmlformats.org/officeDocument/2006/relationships/hyperlink" Target="http://page.is/victoria-ross" TargetMode="External"/><Relationship Id="rId1106" Type="http://schemas.openxmlformats.org/officeDocument/2006/relationships/hyperlink" Target="https://www.poemas-del-alma.com/blog/mostrar-poema-519033" TargetMode="External"/><Relationship Id="rId1313" Type="http://schemas.openxmlformats.org/officeDocument/2006/relationships/hyperlink" Target="https://cnn.it/2OYpGL1" TargetMode="External"/><Relationship Id="rId1520" Type="http://schemas.openxmlformats.org/officeDocument/2006/relationships/hyperlink" Target="https://www.lavanguardia.com/economia/20181122/453091485297/espana-cuba-pedro-sanchez-visita-empresas.html" TargetMode="External"/><Relationship Id="rId1965" Type="http://schemas.openxmlformats.org/officeDocument/2006/relationships/hyperlink" Target="http://www.luisabeledo.es/" TargetMode="External"/><Relationship Id="rId3180" Type="http://schemas.openxmlformats.org/officeDocument/2006/relationships/hyperlink" Target="https://elpais.com/politica/2018/11/21/actualidad/1542810485_448113.html?id_externo_rsoc=TW_CC" TargetMode="External"/><Relationship Id="rId1618" Type="http://schemas.openxmlformats.org/officeDocument/2006/relationships/hyperlink" Target="http://www.telesurtv.net/" TargetMode="External"/><Relationship Id="rId1825" Type="http://schemas.openxmlformats.org/officeDocument/2006/relationships/hyperlink" Target="http://cort.as/-CLbi" TargetMode="External"/><Relationship Id="rId3040" Type="http://schemas.openxmlformats.org/officeDocument/2006/relationships/hyperlink" Target="http://www.nicolas-guerif.com/" TargetMode="External"/><Relationship Id="rId3278" Type="http://schemas.openxmlformats.org/officeDocument/2006/relationships/hyperlink" Target="https://pbs.twimg.com/media/Dsm_Sx6WoAEoCuw.jpg" TargetMode="External"/><Relationship Id="rId3485" Type="http://schemas.openxmlformats.org/officeDocument/2006/relationships/hyperlink" Target="https://pbs.twimg.com/media/DsmmnX2U8AADA65.jpg" TargetMode="External"/><Relationship Id="rId199" Type="http://schemas.openxmlformats.org/officeDocument/2006/relationships/hyperlink" Target="http://bit.ly/2zq33Kk" TargetMode="External"/><Relationship Id="rId2087" Type="http://schemas.openxmlformats.org/officeDocument/2006/relationships/hyperlink" Target="http://www.eldiario.es/" TargetMode="External"/><Relationship Id="rId2294" Type="http://schemas.openxmlformats.org/officeDocument/2006/relationships/hyperlink" Target="https://pbs.twimg.com/media/DsogstHU8AAeqI2.jpg" TargetMode="External"/><Relationship Id="rId3138" Type="http://schemas.openxmlformats.org/officeDocument/2006/relationships/hyperlink" Target="https://www.facebook.com/1299968942/posts/10213743649167698/" TargetMode="External"/><Relationship Id="rId3345" Type="http://schemas.openxmlformats.org/officeDocument/2006/relationships/hyperlink" Target="http://about.me/jordibarcia" TargetMode="External"/><Relationship Id="rId3552" Type="http://schemas.openxmlformats.org/officeDocument/2006/relationships/hyperlink" Target="https://pbs.twimg.com/media/DsmhWk2XQAA57Ca.jpg" TargetMode="External"/><Relationship Id="rId266" Type="http://schemas.openxmlformats.org/officeDocument/2006/relationships/hyperlink" Target="http://www.noticierouniversal.com/" TargetMode="External"/><Relationship Id="rId473" Type="http://schemas.openxmlformats.org/officeDocument/2006/relationships/hyperlink" Target="http://www.eitb.eus/es/television/programas/en-jake/" TargetMode="External"/><Relationship Id="rId680" Type="http://schemas.openxmlformats.org/officeDocument/2006/relationships/hyperlink" Target="http://www.abc.es/" TargetMode="External"/><Relationship Id="rId2154" Type="http://schemas.openxmlformats.org/officeDocument/2006/relationships/hyperlink" Target="https://www.elmundo.es/economia/macroeconomia/2018/11/21/5bf542fa46163f8e9e8b4669.html" TargetMode="External"/><Relationship Id="rId2361" Type="http://schemas.openxmlformats.org/officeDocument/2006/relationships/hyperlink" Target="https://www.laopiniondemalaga.es/marbella/2018/11/22/pedro-sanchez-susana-diaz-finalmente/1049288.html" TargetMode="External"/><Relationship Id="rId2599" Type="http://schemas.openxmlformats.org/officeDocument/2006/relationships/hyperlink" Target="http://about.me/luislosada" TargetMode="External"/><Relationship Id="rId3205" Type="http://schemas.openxmlformats.org/officeDocument/2006/relationships/hyperlink" Target="http://triangol.agency/" TargetMode="External"/><Relationship Id="rId3412" Type="http://schemas.openxmlformats.org/officeDocument/2006/relationships/hyperlink" Target="http://es.favstar.fm/users/norcatalan" TargetMode="External"/><Relationship Id="rId126" Type="http://schemas.openxmlformats.org/officeDocument/2006/relationships/hyperlink" Target="http://curiouscat.me/erlik" TargetMode="External"/><Relationship Id="rId333" Type="http://schemas.openxmlformats.org/officeDocument/2006/relationships/hyperlink" Target="https://www.elmundo.es/economia/macroeconomia/2018/11/21/5bf542fa46163f8e9e8b4669.html" TargetMode="External"/><Relationship Id="rId540" Type="http://schemas.openxmlformats.org/officeDocument/2006/relationships/hyperlink" Target="http://www.elplural.com/" TargetMode="External"/><Relationship Id="rId778" Type="http://schemas.openxmlformats.org/officeDocument/2006/relationships/hyperlink" Target="https://www.ideal.es/jaen/jaen/formula-exito-sentir-20181123231929-nt.html" TargetMode="External"/><Relationship Id="rId985" Type="http://schemas.openxmlformats.org/officeDocument/2006/relationships/hyperlink" Target="http://bit.ly/2PP87Cb" TargetMode="External"/><Relationship Id="rId1170" Type="http://schemas.openxmlformats.org/officeDocument/2006/relationships/hyperlink" Target="http://www.periodistadigital.com/periodismo/prensa/2018/11/23/escupitajo-elpais-oposicion-cubana-elogiando-pedro-sanchez-no-reuna-diaz-canel-brexit-gibraltar-borrell.shtml" TargetMode="External"/><Relationship Id="rId2014" Type="http://schemas.openxmlformats.org/officeDocument/2006/relationships/hyperlink" Target="http://pic.twitter.com/IHEXDVxo5n" TargetMode="External"/><Relationship Id="rId2221" Type="http://schemas.openxmlformats.org/officeDocument/2006/relationships/hyperlink" Target="http://m.facebook.com/nicolas.sabanabiloko" TargetMode="External"/><Relationship Id="rId2459" Type="http://schemas.openxmlformats.org/officeDocument/2006/relationships/hyperlink" Target="http://www.tabarnia.es/" TargetMode="External"/><Relationship Id="rId2666" Type="http://schemas.openxmlformats.org/officeDocument/2006/relationships/hyperlink" Target="https://pbs.twimg.com/media/Dsny-QFVsAAUBdH.jpg" TargetMode="External"/><Relationship Id="rId2873" Type="http://schemas.openxmlformats.org/officeDocument/2006/relationships/hyperlink" Target="http://www.christcarbe.com/" TargetMode="External"/><Relationship Id="rId638" Type="http://schemas.openxmlformats.org/officeDocument/2006/relationships/hyperlink" Target="http://www.europapress.es/nacional/" TargetMode="External"/><Relationship Id="rId845" Type="http://schemas.openxmlformats.org/officeDocument/2006/relationships/hyperlink" Target="http://www.abc.es/madrid/madrid.asp" TargetMode="External"/><Relationship Id="rId1030" Type="http://schemas.openxmlformats.org/officeDocument/2006/relationships/hyperlink" Target="http://www.oswaldopaya.org/" TargetMode="External"/><Relationship Id="rId1268" Type="http://schemas.openxmlformats.org/officeDocument/2006/relationships/hyperlink" Target="https://pbs.twimg.com/media/DsqlhGbWwAAZ1-c.jpg" TargetMode="External"/><Relationship Id="rId1475" Type="http://schemas.openxmlformats.org/officeDocument/2006/relationships/hyperlink" Target="https://sptnkne.ws/kdz4" TargetMode="External"/><Relationship Id="rId1682" Type="http://schemas.openxmlformats.org/officeDocument/2006/relationships/hyperlink" Target="http://www.entornointeligente.com/" TargetMode="External"/><Relationship Id="rId2319" Type="http://schemas.openxmlformats.org/officeDocument/2006/relationships/hyperlink" Target="http://atres.red/ag2ce1" TargetMode="External"/><Relationship Id="rId2526" Type="http://schemas.openxmlformats.org/officeDocument/2006/relationships/hyperlink" Target="https://www.eldiario.es/politica/Marlaska-Pedro-Sanchez-candidato-Madrid_0_836066553.html" TargetMode="External"/><Relationship Id="rId2733" Type="http://schemas.openxmlformats.org/officeDocument/2006/relationships/hyperlink" Target="https://bit.ly/2qZGTde" TargetMode="External"/><Relationship Id="rId400" Type="http://schemas.openxmlformats.org/officeDocument/2006/relationships/hyperlink" Target="http://www.cosasdeunabailarina.es/" TargetMode="External"/><Relationship Id="rId705" Type="http://schemas.openxmlformats.org/officeDocument/2006/relationships/hyperlink" Target="https://www.mambiaccion.com/2018/11/carta-abierta-de-la-omct-al-presidente.html" TargetMode="External"/><Relationship Id="rId1128" Type="http://schemas.openxmlformats.org/officeDocument/2006/relationships/hyperlink" Target="https://pbs.twimg.com/media/Dsq8KVmWoAAIyIK.jpg" TargetMode="External"/><Relationship Id="rId1335" Type="http://schemas.openxmlformats.org/officeDocument/2006/relationships/hyperlink" Target="http://www.meneame.net/story/polonia-pedro-sanchez-hace-contrario-dice" TargetMode="External"/><Relationship Id="rId1542" Type="http://schemas.openxmlformats.org/officeDocument/2006/relationships/hyperlink" Target="http://www.noticierodigital.com/" TargetMode="External"/><Relationship Id="rId1987" Type="http://schemas.openxmlformats.org/officeDocument/2006/relationships/hyperlink" Target="https://pbs.twimg.com/media/Dso9xTtV4AAScWl.jpg" TargetMode="External"/><Relationship Id="rId2940" Type="http://schemas.openxmlformats.org/officeDocument/2006/relationships/hyperlink" Target="http://cnnespanol.cnn.com/" TargetMode="External"/><Relationship Id="rId912" Type="http://schemas.openxmlformats.org/officeDocument/2006/relationships/hyperlink" Target="http://www.prensa-latina.cu/index.php?o=rn&amp;id=230921&amp;SEO=diaz-canel-y-pedro-sanchez-encabezan-firma-de-memorandos-fotos" TargetMode="External"/><Relationship Id="rId1847" Type="http://schemas.openxmlformats.org/officeDocument/2006/relationships/hyperlink" Target="http://www.cubaenmiami.com/" TargetMode="External"/><Relationship Id="rId2800" Type="http://schemas.openxmlformats.org/officeDocument/2006/relationships/hyperlink" Target="http://www.cubahora.cu/" TargetMode="External"/><Relationship Id="rId41" Type="http://schemas.openxmlformats.org/officeDocument/2006/relationships/hyperlink" Target="https://www.enganchatealocubano.net/pedro-sanchez-compromete-al-rey-de-espana-con-una-posible-visita-a-cuba/" TargetMode="External"/><Relationship Id="rId1402" Type="http://schemas.openxmlformats.org/officeDocument/2006/relationships/hyperlink" Target="https://pbs.twimg.com/media/DsqKqqTUcAA0WRE.jpg" TargetMode="External"/><Relationship Id="rId1707" Type="http://schemas.openxmlformats.org/officeDocument/2006/relationships/hyperlink" Target="http://www.jornada.com.mx/ultimas/2018/11/22/llega-pedro-sanchez-a-cuba-en-historica-visita-9864.html" TargetMode="External"/><Relationship Id="rId3062" Type="http://schemas.openxmlformats.org/officeDocument/2006/relationships/hyperlink" Target="http://youtu.be/OBEluUwFIu0?a" TargetMode="External"/><Relationship Id="rId190" Type="http://schemas.openxmlformats.org/officeDocument/2006/relationships/hyperlink" Target="https://www.elconfidencial.com/espana/2018-11-23/pedro-sanchez-adelanto-electoral-superdomingo-barones_1663322/" TargetMode="External"/><Relationship Id="rId288" Type="http://schemas.openxmlformats.org/officeDocument/2006/relationships/hyperlink" Target="https://pbs.twimg.com/media/DssNUUiWsAA3keM.jpg" TargetMode="External"/><Relationship Id="rId1914" Type="http://schemas.openxmlformats.org/officeDocument/2006/relationships/hyperlink" Target="https://www.elespanol.com/opinion/editoriales/20181122/presidente-no-da/355104488_14.html" TargetMode="External"/><Relationship Id="rId3367" Type="http://schemas.openxmlformats.org/officeDocument/2006/relationships/hyperlink" Target="http://www.oswaldopaya.org/es/2018/11/22/resumen-de-entrevista-a-carlos-paya-movimiento-cristiano-liberacion-en-television-espanola-sobre-visita-a-cuba-de-presidente-de-gobierno-de-espana-pedro-sanchez/" TargetMode="External"/><Relationship Id="rId3574" Type="http://schemas.openxmlformats.org/officeDocument/2006/relationships/hyperlink" Target="https://twitter.com/apuente/status/1065547335709663232" TargetMode="External"/><Relationship Id="rId495" Type="http://schemas.openxmlformats.org/officeDocument/2006/relationships/hyperlink" Target="https://pbs.twimg.com/media/Dsr6KRdXoAAq4pH.jpg" TargetMode="External"/><Relationship Id="rId2176" Type="http://schemas.openxmlformats.org/officeDocument/2006/relationships/hyperlink" Target="http://www.inigodejuana.es/" TargetMode="External"/><Relationship Id="rId2383" Type="http://schemas.openxmlformats.org/officeDocument/2006/relationships/hyperlink" Target="https://elcomunista.net/2018/11/22/llegara-hoy-a-cuba-pedro-sanchez-presidente-del-gobierno-de-espana/" TargetMode="External"/><Relationship Id="rId2590" Type="http://schemas.openxmlformats.org/officeDocument/2006/relationships/hyperlink" Target="http://instagram.com/fran864" TargetMode="External"/><Relationship Id="rId3227" Type="http://schemas.openxmlformats.org/officeDocument/2006/relationships/hyperlink" Target="https://okdiario.com/opinion/2018/09/15/mentiroso-chulo-jeta-plagiario-mediocre-censor-3117399" TargetMode="External"/><Relationship Id="rId3434" Type="http://schemas.openxmlformats.org/officeDocument/2006/relationships/hyperlink" Target="https://ift.tt/2zlwTQ9" TargetMode="External"/><Relationship Id="rId148" Type="http://schemas.openxmlformats.org/officeDocument/2006/relationships/hyperlink" Target="http://bit.ly/2zngPh1" TargetMode="External"/><Relationship Id="rId355" Type="http://schemas.openxmlformats.org/officeDocument/2006/relationships/hyperlink" Target="https://estudioslatinoseiberoamericanos.wordpress.com/2016/08/08/espana-debe-dejar-el-bloqueo-politico-y-continuar-su-buen-ritmo-consolidando-lo-bien-logrado-e-ir-por-mas-a-que-le-dice-no-pedro-sanchez-cuando-el-no-p-3/" TargetMode="External"/><Relationship Id="rId562" Type="http://schemas.openxmlformats.org/officeDocument/2006/relationships/hyperlink" Target="https://twitter.com/DiazCanelB/status/1065930002380845056" TargetMode="External"/><Relationship Id="rId1192" Type="http://schemas.openxmlformats.org/officeDocument/2006/relationships/hyperlink" Target="https://www.elmundo.es/internacional/2018/11/22/5bf6b01b468aeb352a8b463a.html" TargetMode="External"/><Relationship Id="rId2036" Type="http://schemas.openxmlformats.org/officeDocument/2006/relationships/hyperlink" Target="https://okdiario.com/opinion/2018/09/22/eduardo-inda-pedro-sanchez-devuelve-doctorado-que-has-robado-3144739" TargetMode="External"/><Relationship Id="rId2243" Type="http://schemas.openxmlformats.org/officeDocument/2006/relationships/hyperlink" Target="http://www.lasexta.com/elintermedio" TargetMode="External"/><Relationship Id="rId2450" Type="http://schemas.openxmlformats.org/officeDocument/2006/relationships/hyperlink" Target="https://pbs.twimg.com/media/DsoQnGPVYAAplZ3.jpg" TargetMode="External"/><Relationship Id="rId2688" Type="http://schemas.openxmlformats.org/officeDocument/2006/relationships/hyperlink" Target="http://www.abc.es/blogs/" TargetMode="External"/><Relationship Id="rId2895" Type="http://schemas.openxmlformats.org/officeDocument/2006/relationships/hyperlink" Target="http://www.sudamericahoy.com/" TargetMode="External"/><Relationship Id="rId3501" Type="http://schemas.openxmlformats.org/officeDocument/2006/relationships/hyperlink" Target="https://okdiario.com/espana/2018/11/21/sanchez-mando-coche-oficial-vacio-valladolid-hacer-8-kms-del-aeropuerto-ciudad-3377374" TargetMode="External"/><Relationship Id="rId215" Type="http://schemas.openxmlformats.org/officeDocument/2006/relationships/hyperlink" Target="http://isb.gs/WAn28u" TargetMode="External"/><Relationship Id="rId422" Type="http://schemas.openxmlformats.org/officeDocument/2006/relationships/hyperlink" Target="http://www.periodistadigital.com/periodismo/tv/2018/11/22/ferreras-jefe-de-prensa-pedro-sanchez-rafa-hernando-gobierno-pp-borrell.shtml" TargetMode="External"/><Relationship Id="rId867" Type="http://schemas.openxmlformats.org/officeDocument/2006/relationships/hyperlink" Target="http://newsglobaldaily24hours.blogspot.com/" TargetMode="External"/><Relationship Id="rId1052" Type="http://schemas.openxmlformats.org/officeDocument/2006/relationships/hyperlink" Target="https://pbs.twimg.com/media/Dsq-g0UVYAA7Gwr.jpg" TargetMode="External"/><Relationship Id="rId1497" Type="http://schemas.openxmlformats.org/officeDocument/2006/relationships/hyperlink" Target="https://go.shr.lc/2Ab2hR4" TargetMode="External"/><Relationship Id="rId2103" Type="http://schemas.openxmlformats.org/officeDocument/2006/relationships/hyperlink" Target="http://diariomyr.com/" TargetMode="External"/><Relationship Id="rId2310" Type="http://schemas.openxmlformats.org/officeDocument/2006/relationships/hyperlink" Target="http://ivangsanchez.blogspot.com.es/" TargetMode="External"/><Relationship Id="rId2548" Type="http://schemas.openxmlformats.org/officeDocument/2006/relationships/hyperlink" Target="https://nuevarevolucion.es/pedro-sanchez-el-paso-atras-de-la-izquierda/" TargetMode="External"/><Relationship Id="rId2755" Type="http://schemas.openxmlformats.org/officeDocument/2006/relationships/hyperlink" Target="https://www.14ymedio.com/reportajes/yumas-cosa-pepes-familia_0_2551544825.html" TargetMode="External"/><Relationship Id="rId2962" Type="http://schemas.openxmlformats.org/officeDocument/2006/relationships/hyperlink" Target="http://www.escanerdetamaulipas.com/?p=112085" TargetMode="External"/><Relationship Id="rId727" Type="http://schemas.openxmlformats.org/officeDocument/2006/relationships/hyperlink" Target="http://www.radiogalega.gal/rg/destacados/galicia-por-diante-galicia-por-diante-do-dia-23-11-2018-3965714" TargetMode="External"/><Relationship Id="rId934" Type="http://schemas.openxmlformats.org/officeDocument/2006/relationships/hyperlink" Target="https://www.periodistadigital.com/opinion/politica/2018/11/23/el-okupa-pedro-sanchez-tambien-hace-el-ridiculo-en-gibraltar.shtml" TargetMode="External"/><Relationship Id="rId1357" Type="http://schemas.openxmlformats.org/officeDocument/2006/relationships/hyperlink" Target="http://elconfidencial.com/" TargetMode="External"/><Relationship Id="rId1564" Type="http://schemas.openxmlformats.org/officeDocument/2006/relationships/hyperlink" Target="http://bit.ly/2S3cbeW" TargetMode="External"/><Relationship Id="rId1771" Type="http://schemas.openxmlformats.org/officeDocument/2006/relationships/hyperlink" Target="https://pbs.twimg.com/media/DspTRG8U4AApnBU.jpg" TargetMode="External"/><Relationship Id="rId2408" Type="http://schemas.openxmlformats.org/officeDocument/2006/relationships/hyperlink" Target="http://www.marbellaconfidencial.es/" TargetMode="External"/><Relationship Id="rId2615" Type="http://schemas.openxmlformats.org/officeDocument/2006/relationships/hyperlink" Target="https://pbs.twimg.com/media/Dsn9P-XWwAA8eCn.jpg" TargetMode="External"/><Relationship Id="rId2822" Type="http://schemas.openxmlformats.org/officeDocument/2006/relationships/hyperlink" Target="http://blogs.libertaddigital.com/enigmas-del-11-m/" TargetMode="External"/><Relationship Id="rId63" Type="http://schemas.openxmlformats.org/officeDocument/2006/relationships/hyperlink" Target="http://www.radioreloj.cu/" TargetMode="External"/><Relationship Id="rId1217" Type="http://schemas.openxmlformats.org/officeDocument/2006/relationships/hyperlink" Target="http://atres.red/hws1h1" TargetMode="External"/><Relationship Id="rId1424" Type="http://schemas.openxmlformats.org/officeDocument/2006/relationships/hyperlink" Target="http://www.expresochiapas.com/" TargetMode="External"/><Relationship Id="rId1631" Type="http://schemas.openxmlformats.org/officeDocument/2006/relationships/hyperlink" Target="https://elpais.com/elpais/2018/11/19/opinion/1542639769_020575.html?id_externo_rsoc=TW_CC" TargetMode="External"/><Relationship Id="rId1869" Type="http://schemas.openxmlformats.org/officeDocument/2006/relationships/hyperlink" Target="https://www.lapatilla.com/2018/11/22/pedro-sanchez-jefe-del-gobierno-espanol-inicia-su-primera-visita-a-cuba/" TargetMode="External"/><Relationship Id="rId3084" Type="http://schemas.openxmlformats.org/officeDocument/2006/relationships/hyperlink" Target="https://www.elconfidencialdigital.com/articulo/dinero/pedro-sanchez-ampliara-decreto-enero-permisos-paternidad/20181121190407118402.html" TargetMode="External"/><Relationship Id="rId3291" Type="http://schemas.openxmlformats.org/officeDocument/2006/relationships/hyperlink" Target="https://bit.ly/2r1itQC" TargetMode="External"/><Relationship Id="rId1729" Type="http://schemas.openxmlformats.org/officeDocument/2006/relationships/hyperlink" Target="https://ift.tt/2Kt23th" TargetMode="External"/><Relationship Id="rId1936" Type="http://schemas.openxmlformats.org/officeDocument/2006/relationships/hyperlink" Target="https://www.eldiestro.es/2018/11/alfonso-ussia-realiza-un-certero-estudio-psiquiatrico-de-la-vanidosa-personalidad-de-pedro-sanchez/" TargetMode="External"/><Relationship Id="rId3389" Type="http://schemas.openxmlformats.org/officeDocument/2006/relationships/hyperlink" Target="https://georgeorwell67.blogspot.com/" TargetMode="External"/><Relationship Id="rId2198" Type="http://schemas.openxmlformats.org/officeDocument/2006/relationships/hyperlink" Target="https://okdiario.com/opinion/2018/11/22/indignidad-pedro-sanchez-borrell-3380779" TargetMode="External"/><Relationship Id="rId3151" Type="http://schemas.openxmlformats.org/officeDocument/2006/relationships/hyperlink" Target="https://www.antena3.com/noticias/espana/pedro-sanchez-presidente-viajero-da-vuelta-media-tierra-video_201811185bf19faa0cf2265d30050e8b.html" TargetMode="External"/><Relationship Id="rId3249" Type="http://schemas.openxmlformats.org/officeDocument/2006/relationships/hyperlink" Target="http://fuenlabradanoticias.com/pedro-sanchez-recibe-al-presidente-madrileno-angel-garrido-en-la-moncloa/" TargetMode="External"/><Relationship Id="rId3456" Type="http://schemas.openxmlformats.org/officeDocument/2006/relationships/hyperlink" Target="https://ift.tt/2OYQVVT" TargetMode="External"/><Relationship Id="rId377" Type="http://schemas.openxmlformats.org/officeDocument/2006/relationships/hyperlink" Target="https://okdiario.com/internacional/2018/11/23/cuba-firma-espana-primera-vez-memorando-consultas-politicas-hablar-derechos-humanos-3382582" TargetMode="External"/><Relationship Id="rId584" Type="http://schemas.openxmlformats.org/officeDocument/2006/relationships/hyperlink" Target="https://comentaconjose.blogspot.com.es/" TargetMode="External"/><Relationship Id="rId2058" Type="http://schemas.openxmlformats.org/officeDocument/2006/relationships/hyperlink" Target="http://pic.twitter.com/E2385VRWx1" TargetMode="External"/><Relationship Id="rId2265" Type="http://schemas.openxmlformats.org/officeDocument/2006/relationships/hyperlink" Target="https://www.eldiario.es/_31f6512a" TargetMode="External"/><Relationship Id="rId3011" Type="http://schemas.openxmlformats.org/officeDocument/2006/relationships/hyperlink" Target="http://www.noticiascmm.es/" TargetMode="External"/><Relationship Id="rId3109" Type="http://schemas.openxmlformats.org/officeDocument/2006/relationships/hyperlink" Target="https://www.elmundo.es/espana/2018/11/21/5bf5c33022601d4e5a8b45c0.html" TargetMode="External"/><Relationship Id="rId5" Type="http://schemas.openxmlformats.org/officeDocument/2006/relationships/hyperlink" Target="http://www.idafe.eu/" TargetMode="External"/><Relationship Id="rId237" Type="http://schemas.openxmlformats.org/officeDocument/2006/relationships/hyperlink" Target="http://bit.ly/2AfhUXG" TargetMode="External"/><Relationship Id="rId791" Type="http://schemas.openxmlformats.org/officeDocument/2006/relationships/hyperlink" Target="https://pbs.twimg.com/media/DsrcJ_4V4AIVNxb.jpg" TargetMode="External"/><Relationship Id="rId889" Type="http://schemas.openxmlformats.org/officeDocument/2006/relationships/hyperlink" Target="http://www.ppciudadreal.es/" TargetMode="External"/><Relationship Id="rId1074" Type="http://schemas.openxmlformats.org/officeDocument/2006/relationships/hyperlink" Target="https://www.periodistadigital.com/america/sociedad/2018/11/23/patada-por-el-culo-pedro-sanchez-solicitantes-asilo-vuelva-diciembre-2020.shtml" TargetMode="External"/><Relationship Id="rId2472" Type="http://schemas.openxmlformats.org/officeDocument/2006/relationships/hyperlink" Target="http://finanzasdejesus.blogspot.com/" TargetMode="External"/><Relationship Id="rId2777" Type="http://schemas.openxmlformats.org/officeDocument/2006/relationships/hyperlink" Target="http://esradio.libertaddigital.com/es-la-tarde-de-dieter/" TargetMode="External"/><Relationship Id="rId3316" Type="http://schemas.openxmlformats.org/officeDocument/2006/relationships/hyperlink" Target="https://okdiario.com/espana/2018/11/20/sanchez-si-no-acordamos-presupuestos-vocacion-llegar-final-legislatura-ve-acortada-3370455?utm_campaign=ok&amp;utm_medium=Social&amp;utm_source=Facebook" TargetMode="External"/><Relationship Id="rId3523" Type="http://schemas.openxmlformats.org/officeDocument/2006/relationships/hyperlink" Target="https://twitter.com/Pablo_Iglesias_/status/1065182868538822656" TargetMode="External"/><Relationship Id="rId444" Type="http://schemas.openxmlformats.org/officeDocument/2006/relationships/hyperlink" Target="http://heptaadelphoi.blogspot.com/" TargetMode="External"/><Relationship Id="rId651" Type="http://schemas.openxmlformats.org/officeDocument/2006/relationships/hyperlink" Target="https://okdiario.com/economia/empresas/2018/11/23/sanchez-premia-constructora-investigada-caso-acuamed-lleva-avion-cuba-3380485" TargetMode="External"/><Relationship Id="rId749" Type="http://schemas.openxmlformats.org/officeDocument/2006/relationships/hyperlink" Target="http://www.atlas-news.com/" TargetMode="External"/><Relationship Id="rId1281" Type="http://schemas.openxmlformats.org/officeDocument/2006/relationships/hyperlink" Target="http://donatiu8.blogspot.hu/" TargetMode="External"/><Relationship Id="rId1379" Type="http://schemas.openxmlformats.org/officeDocument/2006/relationships/hyperlink" Target="http://www.elimparcial.com/" TargetMode="External"/><Relationship Id="rId1586" Type="http://schemas.openxmlformats.org/officeDocument/2006/relationships/hyperlink" Target="http://hispanosaldia.com/" TargetMode="External"/><Relationship Id="rId2125" Type="http://schemas.openxmlformats.org/officeDocument/2006/relationships/hyperlink" Target="https://www.elperiodico.com/es/politica/20181122/pnv-arranca-pedro-sanchez-competencias-para-euskadi-7162799?utm_source=twitter&amp;utm_medium=social" TargetMode="External"/><Relationship Id="rId2332" Type="http://schemas.openxmlformats.org/officeDocument/2006/relationships/hyperlink" Target="https://m.eldiario.es/_31d55cf9" TargetMode="External"/><Relationship Id="rId2984" Type="http://schemas.openxmlformats.org/officeDocument/2006/relationships/hyperlink" Target="http://youtu.be/WhjLRon6Pf0?a" TargetMode="External"/><Relationship Id="rId304" Type="http://schemas.openxmlformats.org/officeDocument/2006/relationships/hyperlink" Target="https://www.youtube.com/watch?v=R0ZoWwrAPLg" TargetMode="External"/><Relationship Id="rId511" Type="http://schemas.openxmlformats.org/officeDocument/2006/relationships/hyperlink" Target="https://www.diariolasamericas.com/c4166959" TargetMode="External"/><Relationship Id="rId609" Type="http://schemas.openxmlformats.org/officeDocument/2006/relationships/hyperlink" Target="http://www.ideal.es/almeria" TargetMode="External"/><Relationship Id="rId956" Type="http://schemas.openxmlformats.org/officeDocument/2006/relationships/hyperlink" Target="http://www.pce.es/" TargetMode="External"/><Relationship Id="rId1141" Type="http://schemas.openxmlformats.org/officeDocument/2006/relationships/hyperlink" Target="http://bit.ly/2Fz15gs" TargetMode="External"/><Relationship Id="rId1239" Type="http://schemas.openxmlformats.org/officeDocument/2006/relationships/hyperlink" Target="https://pbs.twimg.com/media/Dsqrs3XWwAEkd1a.jpg" TargetMode="External"/><Relationship Id="rId1793" Type="http://schemas.openxmlformats.org/officeDocument/2006/relationships/hyperlink" Target="http://bit.ly/2AjFUZE" TargetMode="External"/><Relationship Id="rId2637"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844" Type="http://schemas.openxmlformats.org/officeDocument/2006/relationships/hyperlink" Target="http://pic.twitter.com/iG7XDE8Pl6" TargetMode="External"/><Relationship Id="rId85" Type="http://schemas.openxmlformats.org/officeDocument/2006/relationships/hyperlink" Target="http://www.lahoradelaverdad.com.co/" TargetMode="External"/><Relationship Id="rId816" Type="http://schemas.openxmlformats.org/officeDocument/2006/relationships/hyperlink" Target="https://www.yoibextigo.lamarea.com/informe/noticias/resumen-ibex/resumen-yoibextigo-nov-4/" TargetMode="External"/><Relationship Id="rId1001" Type="http://schemas.openxmlformats.org/officeDocument/2006/relationships/hyperlink" Target="https://ift.tt/2KsZ6ZJ" TargetMode="External"/><Relationship Id="rId1446" Type="http://schemas.openxmlformats.org/officeDocument/2006/relationships/hyperlink" Target="http://comentando05.blogspot.com/" TargetMode="External"/><Relationship Id="rId1653" Type="http://schemas.openxmlformats.org/officeDocument/2006/relationships/hyperlink" Target="https://bit.ly/2AjJwLc" TargetMode="External"/><Relationship Id="rId1860" Type="http://schemas.openxmlformats.org/officeDocument/2006/relationships/hyperlink" Target="https://pbs.twimg.com/media/DspKHfNU8AERVj-.jpg" TargetMode="External"/><Relationship Id="rId2704" Type="http://schemas.openxmlformats.org/officeDocument/2006/relationships/hyperlink" Target="https://pbs.twimg.com/media/Dsj-OrsU0AA1SzL.jpg" TargetMode="External"/><Relationship Id="rId2911" Type="http://schemas.openxmlformats.org/officeDocument/2006/relationships/hyperlink" Target="https://elpais.com/politica/2018/11/21/actualidad/1542803798_093416.html" TargetMode="External"/><Relationship Id="rId1306" Type="http://schemas.openxmlformats.org/officeDocument/2006/relationships/hyperlink" Target="https://pbs.twimg.com/media/DsqckCOW0AE2sIm.jpg" TargetMode="External"/><Relationship Id="rId1513" Type="http://schemas.openxmlformats.org/officeDocument/2006/relationships/hyperlink" Target="http://caribbeandigital.net/presidente-del-gobierno-espanol-arribo-a-cuba-para-iniciar-visita-oficial/" TargetMode="External"/><Relationship Id="rId1720" Type="http://schemas.openxmlformats.org/officeDocument/2006/relationships/hyperlink" Target="http://www.informador.mx/internacional/" TargetMode="External"/><Relationship Id="rId1958" Type="http://schemas.openxmlformats.org/officeDocument/2006/relationships/hyperlink" Target="https://twitter.com/sanchezcastejon/status/1065719004923342850" TargetMode="External"/><Relationship Id="rId3173" Type="http://schemas.openxmlformats.org/officeDocument/2006/relationships/hyperlink" Target="https://tv.libertaddigital.com/videos/2018-11-19/pedro-sanchez-confirma-que-el-y-el-presidente-del-gobierno-son-la-misma-persona-6067116.html?fbclid=IwAR1vsPaV6UZ_IAQAeJnmtZYRfM8nvUCAvnlB0upsS2VOWeaHytX8twOWtVY" TargetMode="External"/><Relationship Id="rId3380" Type="http://schemas.openxmlformats.org/officeDocument/2006/relationships/hyperlink" Target="http://www.radionexx.com/" TargetMode="External"/><Relationship Id="rId12" Type="http://schemas.openxmlformats.org/officeDocument/2006/relationships/hyperlink" Target="https://www.libertaddigital.com/internacional/latinoamerica/2018-11-23/los-aires-de-grandeza-de-sanchez-y-gomez-en-su-llegada-a-cuba-1276628742/" TargetMode="External"/><Relationship Id="rId1818" Type="http://schemas.openxmlformats.org/officeDocument/2006/relationships/hyperlink" Target="http://www.elnacional.cat/es/" TargetMode="External"/><Relationship Id="rId3033" Type="http://schemas.openxmlformats.org/officeDocument/2006/relationships/hyperlink" Target="http://www.facebook.com/profile.php?id=100000549097887&amp;ref=tn_tinyman" TargetMode="External"/><Relationship Id="rId3240" Type="http://schemas.openxmlformats.org/officeDocument/2006/relationships/hyperlink" Target="https://pbs.twimg.com/media/DsnEHM0W0AIFxRE.jpg" TargetMode="External"/><Relationship Id="rId3478" Type="http://schemas.openxmlformats.org/officeDocument/2006/relationships/hyperlink" Target="https://nuevarevolucion.es/pedro-sanchez-el-paso-atras-de-la-izquierda/" TargetMode="External"/><Relationship Id="rId161" Type="http://schemas.openxmlformats.org/officeDocument/2006/relationships/hyperlink" Target="http://www.entumovil.cu/" TargetMode="External"/><Relationship Id="rId399" Type="http://schemas.openxmlformats.org/officeDocument/2006/relationships/hyperlink" Target="https://pbs.twimg.com/media/DssDCMjWoAAjyLT.jpg" TargetMode="External"/><Relationship Id="rId2287" Type="http://schemas.openxmlformats.org/officeDocument/2006/relationships/hyperlink" Target="https://pbs.twimg.com/media/DsnfszEX4AIhIUu.jpg" TargetMode="External"/><Relationship Id="rId2494" Type="http://schemas.openxmlformats.org/officeDocument/2006/relationships/hyperlink" Target="https://okdiario.com/espana/2018/11/21/sanchez-mando-coche-oficial-vacio-valladolid-hacer-8-kms-del-aeropuerto-ciudad-3377374/amp?utm_term=Autofeed&amp;utm_campaign=ok&amp;utm_medium=Social&amp;utm_source=Twitter&amp;__twitter_impression=true" TargetMode="External"/><Relationship Id="rId3338" Type="http://schemas.openxmlformats.org/officeDocument/2006/relationships/hyperlink" Target="http://www.granma.cu/mundo/2018-11-21/biografia-oficial-del-excmo-sr-pedro-sanchez-perez-castejon-presidente-del-gobierno-del-reino-de-espana-21-11-2018-20-11-30" TargetMode="External"/><Relationship Id="rId3545" Type="http://schemas.openxmlformats.org/officeDocument/2006/relationships/hyperlink" Target="https://www.aporrea.org/internacionales/n334640.html" TargetMode="External"/><Relationship Id="rId259" Type="http://schemas.openxmlformats.org/officeDocument/2006/relationships/hyperlink" Target="https://noticierouniversal.com/destacadas/carta-de-un-guardia-civil-a-pedro-sanchez/" TargetMode="External"/><Relationship Id="rId466" Type="http://schemas.openxmlformats.org/officeDocument/2006/relationships/hyperlink" Target="http://www.prnoticias.com/" TargetMode="External"/><Relationship Id="rId673" Type="http://schemas.openxmlformats.org/officeDocument/2006/relationships/hyperlink" Target="https://pbs.twimg.com/media/DsroD9BXgAAMD-T.jpg" TargetMode="External"/><Relationship Id="rId880" Type="http://schemas.openxmlformats.org/officeDocument/2006/relationships/hyperlink" Target="http://castillalamancha.ciudadanos-cs.org/" TargetMode="External"/><Relationship Id="rId1096" Type="http://schemas.openxmlformats.org/officeDocument/2006/relationships/hyperlink" Target="https://pbs.twimg.com/media/Dsq-XIBWsAE7PYM.jpg" TargetMode="External"/><Relationship Id="rId2147" Type="http://schemas.openxmlformats.org/officeDocument/2006/relationships/hyperlink" Target="https://ift.tt/2r2puAU" TargetMode="External"/><Relationship Id="rId2354" Type="http://schemas.openxmlformats.org/officeDocument/2006/relationships/hyperlink" Target="https://www.elconfidencial.com/espana/2018-11-22/sanchez-psoe-borrell-rufian-congreso-pp_1660886/?utm_source=twitter&amp;utm_medium=social&amp;utm_campaign=BotoneraWeb" TargetMode="External"/><Relationship Id="rId2561" Type="http://schemas.openxmlformats.org/officeDocument/2006/relationships/hyperlink" Target="https://okdiario.com/espana/2018/11/22/sanchez-inicia-primera-visita-lider-europeo-dictador-cubano-diaz-canel-3380653" TargetMode="External"/><Relationship Id="rId2799" Type="http://schemas.openxmlformats.org/officeDocument/2006/relationships/hyperlink" Target="https://pbs.twimg.com/media/DsnsLqrU4AATpbo.jpg" TargetMode="External"/><Relationship Id="rId3100" Type="http://schemas.openxmlformats.org/officeDocument/2006/relationships/hyperlink" Target="http://triangol.agency/" TargetMode="External"/><Relationship Id="rId3405" Type="http://schemas.openxmlformats.org/officeDocument/2006/relationships/hyperlink" Target="http://queraroestodo.blogspot.com/" TargetMode="External"/><Relationship Id="rId119" Type="http://schemas.openxmlformats.org/officeDocument/2006/relationships/hyperlink" Target="https://www.economiadigital.es/politica-y-sociedad/el-ibex-senala-el-fin-del-gobierno-de-pedro-sanchez_590507_102.html" TargetMode="External"/><Relationship Id="rId326" Type="http://schemas.openxmlformats.org/officeDocument/2006/relationships/hyperlink" Target="https://pbs.twimg.com/media/DssLGqjV4AASVX5.jpg" TargetMode="External"/><Relationship Id="rId533" Type="http://schemas.openxmlformats.org/officeDocument/2006/relationships/hyperlink" Target="https://pbs.twimg.com/media/Dsr5DOCXoAAncqV.jpg" TargetMode="External"/><Relationship Id="rId978" Type="http://schemas.openxmlformats.org/officeDocument/2006/relationships/hyperlink" Target="https://pbs.twimg.com/media/DsrHTLaWoAA4OX6.jpg" TargetMode="External"/><Relationship Id="rId1163" Type="http://schemas.openxmlformats.org/officeDocument/2006/relationships/hyperlink" Target="https://www.elconfidencial.com/espana/2018-11-23/pedro-sanchez-adelanto-electoral-superdomingo-barones_1663322/?utm_source=twitter&amp;utm_medium=social&amp;utm_campaign=BotoneraWeb" TargetMode="External"/><Relationship Id="rId1370" Type="http://schemas.openxmlformats.org/officeDocument/2006/relationships/hyperlink" Target="http://www.radiobayamo.icrt.cu/" TargetMode="External"/><Relationship Id="rId2007" Type="http://schemas.openxmlformats.org/officeDocument/2006/relationships/hyperlink" Target="https://twitter.com/afpespanol/status/1065727988879290368" TargetMode="External"/><Relationship Id="rId2214" Type="http://schemas.openxmlformats.org/officeDocument/2006/relationships/hyperlink" Target="http://www.telesurtv.net/" TargetMode="External"/><Relationship Id="rId2659" Type="http://schemas.openxmlformats.org/officeDocument/2006/relationships/hyperlink" Target="https://espanolesdecuba.es/el-viaje-a-cuba-de-pedro-sanchez/" TargetMode="External"/><Relationship Id="rId2866" Type="http://schemas.openxmlformats.org/officeDocument/2006/relationships/hyperlink" Target="https://www.huffingtonpost.es/2018/11/22/may-defendere-la-soberania-de-gibraltar_a_23597118/?utm_hp_ref=es-homepage" TargetMode="External"/><Relationship Id="rId740" Type="http://schemas.openxmlformats.org/officeDocument/2006/relationships/hyperlink" Target="https://www.elperiodico.com/es/politica/20181122/pnv-arranca-pedro-sanchez-competencias-para-euskadi-7162799?utm_source=twitter&amp;utm_medium=social" TargetMode="External"/><Relationship Id="rId838" Type="http://schemas.openxmlformats.org/officeDocument/2006/relationships/hyperlink" Target="http://fernanmedrano.wordpress.com/" TargetMode="External"/><Relationship Id="rId1023" Type="http://schemas.openxmlformats.org/officeDocument/2006/relationships/hyperlink" Target="http://www.alcaldemariscal.es/" TargetMode="External"/><Relationship Id="rId1468" Type="http://schemas.openxmlformats.org/officeDocument/2006/relationships/hyperlink" Target="http://www.avesfotos.eu/" TargetMode="External"/><Relationship Id="rId1675" Type="http://schemas.openxmlformats.org/officeDocument/2006/relationships/hyperlink" Target="https://ift.tt/2Ty0Tkx" TargetMode="External"/><Relationship Id="rId1882" Type="http://schemas.openxmlformats.org/officeDocument/2006/relationships/hyperlink" Target="http://www.noticierodigital.com/" TargetMode="External"/><Relationship Id="rId2421" Type="http://schemas.openxmlformats.org/officeDocument/2006/relationships/hyperlink" Target="https://elcomunista.net/" TargetMode="External"/><Relationship Id="rId2519" Type="http://schemas.openxmlformats.org/officeDocument/2006/relationships/hyperlink" Target="https://www.ahorainformacion.es/blog/pedro-sanchez-el-portugues-y-la-hispanofobia-recalcitrante/" TargetMode="External"/><Relationship Id="rId2726" Type="http://schemas.openxmlformats.org/officeDocument/2006/relationships/hyperlink" Target="https://www.14ymedio.com/nacional/Sanchez-reunira-disidentes-oficial-Cuba-visita-Espana_0_2550944892.html" TargetMode="External"/><Relationship Id="rId600" Type="http://schemas.openxmlformats.org/officeDocument/2006/relationships/hyperlink" Target="https://www.youtube.com/attribution_link?a=JDUu4gTdGqk&amp;u=%2Fwatch%3Fv%3DqfvBz2Mwv20%26feature%3Dshare" TargetMode="External"/><Relationship Id="rId1230" Type="http://schemas.openxmlformats.org/officeDocument/2006/relationships/hyperlink" Target="http://www.efe.com/" TargetMode="External"/><Relationship Id="rId1328" Type="http://schemas.openxmlformats.org/officeDocument/2006/relationships/hyperlink" Target="https://infotucuman.com/" TargetMode="External"/><Relationship Id="rId1535" Type="http://schemas.openxmlformats.org/officeDocument/2006/relationships/hyperlink" Target="https://sptnkne.ws/kdze" TargetMode="External"/><Relationship Id="rId2933" Type="http://schemas.openxmlformats.org/officeDocument/2006/relationships/hyperlink" Target="https://pbs.twimg.com/media/DsniWnMXgAA4LyM.jpg" TargetMode="External"/><Relationship Id="rId905" Type="http://schemas.openxmlformats.org/officeDocument/2006/relationships/hyperlink" Target="https://ift.tt/2KpvVqm" TargetMode="External"/><Relationship Id="rId1742" Type="http://schemas.openxmlformats.org/officeDocument/2006/relationships/hyperlink" Target="http://es.globedia.com/sanchez-asegura-gobierno-vetara-acuerdo-brexit-defiende-intereses-espana-gibraltar" TargetMode="External"/><Relationship Id="rId3195" Type="http://schemas.openxmlformats.org/officeDocument/2006/relationships/hyperlink" Target="https://trib.al/omsZUvv" TargetMode="External"/><Relationship Id="rId34" Type="http://schemas.openxmlformats.org/officeDocument/2006/relationships/hyperlink" Target="http://www.facebook.com/anxelin.yoloxokotl" TargetMode="External"/><Relationship Id="rId1602" Type="http://schemas.openxmlformats.org/officeDocument/2006/relationships/hyperlink" Target="https://www.facebook.com/VencedorMRT48365?ref=bookmarks" TargetMode="External"/><Relationship Id="rId3055" Type="http://schemas.openxmlformats.org/officeDocument/2006/relationships/hyperlink" Target="http://www.madridactual.es/" TargetMode="External"/><Relationship Id="rId3262" Type="http://schemas.openxmlformats.org/officeDocument/2006/relationships/hyperlink" Target="http://kantinusportsteve.blogspot.com/" TargetMode="External"/><Relationship Id="rId183" Type="http://schemas.openxmlformats.org/officeDocument/2006/relationships/hyperlink" Target="http://elmunicipio.es/" TargetMode="External"/><Relationship Id="rId390" Type="http://schemas.openxmlformats.org/officeDocument/2006/relationships/hyperlink" Target="http://pic.twitter.com/RbK0mx3wEK" TargetMode="External"/><Relationship Id="rId1907" Type="http://schemas.openxmlformats.org/officeDocument/2006/relationships/hyperlink" Target="http://okdiario.com/" TargetMode="External"/><Relationship Id="rId2071" Type="http://schemas.openxmlformats.org/officeDocument/2006/relationships/hyperlink" Target="https://josetivi.wordpress.com/" TargetMode="External"/><Relationship Id="rId3122" Type="http://schemas.openxmlformats.org/officeDocument/2006/relationships/hyperlink" Target="https://pbs.twimg.com/media/DsnRH3BUwAEOS_S.jpg" TargetMode="External"/><Relationship Id="rId3567" Type="http://schemas.openxmlformats.org/officeDocument/2006/relationships/hyperlink" Target="http://ow.ly/g7ss30mIbCc" TargetMode="External"/><Relationship Id="rId250" Type="http://schemas.openxmlformats.org/officeDocument/2006/relationships/hyperlink" Target="https://pbs.twimg.com/media/DssPzh2XQAAlhqg.jpg" TargetMode="External"/><Relationship Id="rId488" Type="http://schemas.openxmlformats.org/officeDocument/2006/relationships/hyperlink" Target="https://www.infobae.com/america/mundo/2018/11/23/pedro-sanchez-hablo-con-theresa-may-y-reitero-que-hara-espana-si-no-hay-cambios-sobre-gibraltar-vetaremos-el-brexit/" TargetMode="External"/><Relationship Id="rId695" Type="http://schemas.openxmlformats.org/officeDocument/2006/relationships/hyperlink" Target="https://www.economiadigital.es/politica-y-sociedad/el-ibex-senala-el-fin-del-gobierno-de-pedro-sanchez_590507_102.html" TargetMode="External"/><Relationship Id="rId2169" Type="http://schemas.openxmlformats.org/officeDocument/2006/relationships/hyperlink" Target="https://www.20minutos.es/" TargetMode="External"/><Relationship Id="rId2376" Type="http://schemas.openxmlformats.org/officeDocument/2006/relationships/hyperlink" Target="http://raulrafecas.com/" TargetMode="External"/><Relationship Id="rId2583" Type="http://schemas.openxmlformats.org/officeDocument/2006/relationships/hyperlink" Target="https://www.elplural.com/politica/espana/pedro-sanchez-gabriel-rufian-borrell-perdon-sociedad-facebook_206764102" TargetMode="External"/><Relationship Id="rId2790" Type="http://schemas.openxmlformats.org/officeDocument/2006/relationships/hyperlink" Target="https://pbs.twimg.com/media/Dsm303cVYAABctA.jpg" TargetMode="External"/><Relationship Id="rId3427" Type="http://schemas.openxmlformats.org/officeDocument/2006/relationships/hyperlink" Target="https://pbs.twimg.com/media/DsmvnK_WsAEKQ58.jpg" TargetMode="External"/><Relationship Id="rId110" Type="http://schemas.openxmlformats.org/officeDocument/2006/relationships/hyperlink" Target="https://pbs.twimg.com/media/DssaALrU4AICiPH.jpg" TargetMode="External"/><Relationship Id="rId348" Type="http://schemas.openxmlformats.org/officeDocument/2006/relationships/hyperlink" Target="http://www.trabajadores.cu/" TargetMode="External"/><Relationship Id="rId555" Type="http://schemas.openxmlformats.org/officeDocument/2006/relationships/hyperlink" Target="https://nuevarevolucion.es/pedro-sanchez-el-paso-atras-de-la-izquierda/" TargetMode="External"/><Relationship Id="rId762" Type="http://schemas.openxmlformats.org/officeDocument/2006/relationships/hyperlink" Target="http://bierzogpb.blogspot.com.es/" TargetMode="External"/><Relationship Id="rId1185" Type="http://schemas.openxmlformats.org/officeDocument/2006/relationships/hyperlink" Target="http://www.cambio16.com/" TargetMode="External"/><Relationship Id="rId1392" Type="http://schemas.openxmlformats.org/officeDocument/2006/relationships/hyperlink" Target="http://bit.ly/2S9vfrJ" TargetMode="External"/><Relationship Id="rId2029" Type="http://schemas.openxmlformats.org/officeDocument/2006/relationships/hyperlink" Target="https://pbs.twimg.com/media/Dso7zd_V4AMEX6p.jpg" TargetMode="External"/><Relationship Id="rId2236" Type="http://schemas.openxmlformats.org/officeDocument/2006/relationships/hyperlink" Target="http://caraotadigital.net/" TargetMode="External"/><Relationship Id="rId2443" Type="http://schemas.openxmlformats.org/officeDocument/2006/relationships/hyperlink" Target="https://www.periodistadigital.com/periodismo/prensa/2018/11/22/alfonso-ussia-borra-sonrisa-egolatra-sanchez-manda-volando-psiquiatrico.shtml" TargetMode="External"/><Relationship Id="rId2650" Type="http://schemas.openxmlformats.org/officeDocument/2006/relationships/hyperlink" Target="http://www.conducetuciudad.com/" TargetMode="External"/><Relationship Id="rId2888" Type="http://schemas.openxmlformats.org/officeDocument/2006/relationships/hyperlink" Target="https://pbs.twimg.com/media/DsnmEDoU0AERt8C.jpg" TargetMode="External"/><Relationship Id="rId208" Type="http://schemas.openxmlformats.org/officeDocument/2006/relationships/hyperlink" Target="http://bit.ly/2DTxufQ" TargetMode="External"/><Relationship Id="rId415" Type="http://schemas.openxmlformats.org/officeDocument/2006/relationships/hyperlink" Target="http://pic.twitter.com/Cxw0tZmVEz" TargetMode="External"/><Relationship Id="rId622" Type="http://schemas.openxmlformats.org/officeDocument/2006/relationships/hyperlink" Target="https://pbs.twimg.com/media/DsrtfZGX4AAgmvs.jpg" TargetMode="External"/><Relationship Id="rId1045" Type="http://schemas.openxmlformats.org/officeDocument/2006/relationships/hyperlink" Target="https://ift.tt/2FDj59s" TargetMode="External"/><Relationship Id="rId1252" Type="http://schemas.openxmlformats.org/officeDocument/2006/relationships/hyperlink" Target="https://pbs.twimg.com/media/DsqqS_tXQAAXO2M.jpg" TargetMode="External"/><Relationship Id="rId1697" Type="http://schemas.openxmlformats.org/officeDocument/2006/relationships/hyperlink" Target="https://latribudesbelges.wordpress.com/" TargetMode="External"/><Relationship Id="rId2303" Type="http://schemas.openxmlformats.org/officeDocument/2006/relationships/hyperlink" Target="http://antoniobernabe.net/" TargetMode="External"/><Relationship Id="rId2510" Type="http://schemas.openxmlformats.org/officeDocument/2006/relationships/hyperlink" Target="http://www.luisabeledo.es/" TargetMode="External"/><Relationship Id="rId2748" Type="http://schemas.openxmlformats.org/officeDocument/2006/relationships/hyperlink" Target="https://www.periodistadigital.com/periodismo/tv/2018/11/22/ferreras-jefe-de-prensa-pedro-sanchez-rafa-hernando-gobierno-pp-borrell.shtml" TargetMode="External"/><Relationship Id="rId2955" Type="http://schemas.openxmlformats.org/officeDocument/2006/relationships/hyperlink" Target="https://pbs.twimg.com/media/DsmCDWrXQAE2rbg.jpg" TargetMode="External"/><Relationship Id="rId927" Type="http://schemas.openxmlformats.org/officeDocument/2006/relationships/hyperlink" Target="http://www.periodistadigital.com/" TargetMode="External"/><Relationship Id="rId1112" Type="http://schemas.openxmlformats.org/officeDocument/2006/relationships/hyperlink" Target="http://www.youtube.com/channel/UCT6Zy6dkQsfxARRlPOjbn0A" TargetMode="External"/><Relationship Id="rId1557" Type="http://schemas.openxmlformats.org/officeDocument/2006/relationships/hyperlink" Target="https://www.facebook.com/Consumer-Credit-Counseling-in-California-1090777264305447/" TargetMode="External"/><Relationship Id="rId1764" Type="http://schemas.openxmlformats.org/officeDocument/2006/relationships/hyperlink" Target="http://tema1tema.blogspot.com/" TargetMode="External"/><Relationship Id="rId1971" Type="http://schemas.openxmlformats.org/officeDocument/2006/relationships/hyperlink" Target="https://www.elmundo.es/espana/2018/11/21/5bf5ab23e2704ea02f8b4581.html" TargetMode="External"/><Relationship Id="rId2608" Type="http://schemas.openxmlformats.org/officeDocument/2006/relationships/hyperlink" Target="https://www.google.es/amp/s/www.elconfidencial.com/amp/espana/cataluna/2018-11-21/erc-pide-pedro-sanchez-evite-elecciones_1658806/" TargetMode="External"/><Relationship Id="rId2815" Type="http://schemas.openxmlformats.org/officeDocument/2006/relationships/hyperlink" Target="https://www.elmundo.es/internacional/2018/11/22/5bf6b01b468aeb352a8b463a.html" TargetMode="External"/><Relationship Id="rId56" Type="http://schemas.openxmlformats.org/officeDocument/2006/relationships/hyperlink" Target="http://www.facebook.com/anxelin.yoloxokotl" TargetMode="External"/><Relationship Id="rId1417" Type="http://schemas.openxmlformats.org/officeDocument/2006/relationships/hyperlink" Target="https://pbs.twimg.com/media/DsqHt_TU0AAX68t.jpg" TargetMode="External"/><Relationship Id="rId1624" Type="http://schemas.openxmlformats.org/officeDocument/2006/relationships/hyperlink" Target="https://www.oncenoticias.tv/nota/pedro-sanchez-inicia-historica-visita-a-cuba" TargetMode="External"/><Relationship Id="rId1831" Type="http://schemas.openxmlformats.org/officeDocument/2006/relationships/hyperlink" Target="https://pbs.twimg.com/media/DspM1z4VsAA3-pr.jpg" TargetMode="External"/><Relationship Id="rId3077" Type="http://schemas.openxmlformats.org/officeDocument/2006/relationships/hyperlink" Target="http://www.infojaen.com/" TargetMode="External"/><Relationship Id="rId3284" Type="http://schemas.openxmlformats.org/officeDocument/2006/relationships/hyperlink" Target="https://www.youtube.com/attribution_link?a=TaKCUPRMCak&amp;u=%2Fwatch%3Fv%3DFkjp0p2xyoc%26feature%3Dshare" TargetMode="External"/><Relationship Id="rId1929" Type="http://schemas.openxmlformats.org/officeDocument/2006/relationships/hyperlink" Target="https://twitter.com/WillyTolerdoo/status/1065197525832015873" TargetMode="External"/><Relationship Id="rId2093" Type="http://schemas.openxmlformats.org/officeDocument/2006/relationships/hyperlink" Target="http://goo.gl/alerts/a9842" TargetMode="External"/><Relationship Id="rId3491" Type="http://schemas.openxmlformats.org/officeDocument/2006/relationships/hyperlink" Target="http://www.periodistadigital.com/" TargetMode="External"/><Relationship Id="rId2398" Type="http://schemas.openxmlformats.org/officeDocument/2006/relationships/hyperlink" Target="http://pic.twitter.com/5rVOlb6BMK" TargetMode="External"/><Relationship Id="rId3144" Type="http://schemas.openxmlformats.org/officeDocument/2006/relationships/hyperlink" Target="https://pbs.twimg.com/media/DsnOkc3W0AE4a1m.jpg" TargetMode="External"/><Relationship Id="rId3351" Type="http://schemas.openxmlformats.org/officeDocument/2006/relationships/hyperlink" Target="https://pbs.twimg.com/media/Dsm4oriWoAAZwGi.jpg" TargetMode="External"/><Relationship Id="rId3449" Type="http://schemas.openxmlformats.org/officeDocument/2006/relationships/hyperlink" Target="https://pbs.twimg.com/media/DsmrEYGWwAA-kWh.jpg" TargetMode="External"/><Relationship Id="rId272" Type="http://schemas.openxmlformats.org/officeDocument/2006/relationships/hyperlink" Target="http://zpr.io/6dru5" TargetMode="External"/><Relationship Id="rId577" Type="http://schemas.openxmlformats.org/officeDocument/2006/relationships/hyperlink" Target="http://youtu.be/o7l1zuzXoco?a" TargetMode="External"/><Relationship Id="rId2160" Type="http://schemas.openxmlformats.org/officeDocument/2006/relationships/hyperlink" Target="https://elpais.com/elpais/2018/11/21/opinion/1542824675_536104.html?id_externo_rsoc=TW_CC" TargetMode="External"/><Relationship Id="rId2258" Type="http://schemas.openxmlformats.org/officeDocument/2006/relationships/hyperlink" Target="http://www.notimerica.com/" TargetMode="External"/><Relationship Id="rId3004" Type="http://schemas.openxmlformats.org/officeDocument/2006/relationships/hyperlink" Target="https://okdiario.com/espana/2018/11/21/sanchez-mando-coche-oficial-vacio-valladolid-hacer-8-kms-del-aeropuerto-ciudad-3377374" TargetMode="External"/><Relationship Id="rId3211" Type="http://schemas.openxmlformats.org/officeDocument/2006/relationships/hyperlink" Target="https://twitter.com/ppsanse/status/1065195042447474688" TargetMode="External"/><Relationship Id="rId132" Type="http://schemas.openxmlformats.org/officeDocument/2006/relationships/hyperlink" Target="https://www.economiadigital.es/politica-y-sociedad/el-ibex-senala-el-fin-del-gobierno-de-pedro-sanchez_590507_102.html" TargetMode="External"/><Relationship Id="rId784" Type="http://schemas.openxmlformats.org/officeDocument/2006/relationships/hyperlink" Target="http://www.diariodecuba.com/" TargetMode="External"/><Relationship Id="rId991" Type="http://schemas.openxmlformats.org/officeDocument/2006/relationships/hyperlink" Target="https://www.elconfidencial.com/espana/2018-11-23/pedro-sanchez-adelanto-electoral-superdomingo-barones_1663322/?utm_source=facebook&amp;utm_medium=social&amp;utm_campaign=BotoneraWeb" TargetMode="External"/><Relationship Id="rId1067" Type="http://schemas.openxmlformats.org/officeDocument/2006/relationships/hyperlink" Target="http://epmundo.com/2018/theresa-may-le-saca-las-garras-al-gobierno-de-pedro-sanchez/" TargetMode="External"/><Relationship Id="rId2020" Type="http://schemas.openxmlformats.org/officeDocument/2006/relationships/hyperlink" Target="http://pic.twitter.com/zs2Dyfnfon" TargetMode="External"/><Relationship Id="rId2465" Type="http://schemas.openxmlformats.org/officeDocument/2006/relationships/hyperlink" Target="https://www.periodistadigital.com/periodismo/prensa/2018/11/22/alfonso-ussia-borra-sonrisa-egolatra-sanchez-manda-volando-psiquiatrico.shtml" TargetMode="External"/><Relationship Id="rId2672" Type="http://schemas.openxmlformats.org/officeDocument/2006/relationships/hyperlink" Target="https://elpais.com/politica/2018/11/22/actualidad/1542844409_768373.html?id_externo_rsoc=FB_CC" TargetMode="External"/><Relationship Id="rId3309" Type="http://schemas.openxmlformats.org/officeDocument/2006/relationships/hyperlink" Target="https://www.aporrea.org/internacionales/n334640.html" TargetMode="External"/><Relationship Id="rId3516" Type="http://schemas.openxmlformats.org/officeDocument/2006/relationships/hyperlink" Target="https://pbs.twimg.com/media/Dsmjxr9X4AARG23.jpg" TargetMode="External"/><Relationship Id="rId437" Type="http://schemas.openxmlformats.org/officeDocument/2006/relationships/hyperlink" Target="https://www.facebook.com/permalink.php?story_fbid=2174294372791113&amp;id=100006317147425" TargetMode="External"/><Relationship Id="rId644" Type="http://schemas.openxmlformats.org/officeDocument/2006/relationships/hyperlink" Target="https://okdiario.com/opinion/2018/11/22/indignidad-pedro-sanchez-borrell-3380779" TargetMode="External"/><Relationship Id="rId851" Type="http://schemas.openxmlformats.org/officeDocument/2006/relationships/hyperlink" Target="https://www.elmundo.es/internacional/2018/11/22/5bf6b01b468aeb352a8b463a.html" TargetMode="External"/><Relationship Id="rId1274" Type="http://schemas.openxmlformats.org/officeDocument/2006/relationships/hyperlink" Target="https://www.libertaddigital.com/espana/2018-11-20/pedro-sanchez-piensa-ya-en-elecciones-en-marzo-pero-presiona-in-extremis-al-independentismo-1276628559/" TargetMode="External"/><Relationship Id="rId1481" Type="http://schemas.openxmlformats.org/officeDocument/2006/relationships/hyperlink" Target="http://noticiasvenezuela.org/" TargetMode="External"/><Relationship Id="rId1579" Type="http://schemas.openxmlformats.org/officeDocument/2006/relationships/hyperlink" Target="https://www.20minutos.es/noticia/3499202/0/pedro-sanchez-viaje-cuba-reunion-diaz-canel-habana-llega/" TargetMode="External"/><Relationship Id="rId2118" Type="http://schemas.openxmlformats.org/officeDocument/2006/relationships/hyperlink" Target="http://www.rtve.es/alacarta/audios/cinco-continentes/" TargetMode="External"/><Relationship Id="rId2325" Type="http://schemas.openxmlformats.org/officeDocument/2006/relationships/hyperlink" Target="http://www.telesurtv.net/" TargetMode="External"/><Relationship Id="rId2532" Type="http://schemas.openxmlformats.org/officeDocument/2006/relationships/hyperlink" Target="https://elpais.com/politica/2018/11/21/actualidad/1542810485_448113.html" TargetMode="External"/><Relationship Id="rId2977" Type="http://schemas.openxmlformats.org/officeDocument/2006/relationships/hyperlink" Target="http://www.minrex.gob.cu/" TargetMode="External"/><Relationship Id="rId504" Type="http://schemas.openxmlformats.org/officeDocument/2006/relationships/hyperlink" Target="http://castillalamancha.ciudadanos-cs.org/" TargetMode="External"/><Relationship Id="rId711" Type="http://schemas.openxmlformats.org/officeDocument/2006/relationships/hyperlink" Target="https://twitter.com/sanchezcastejon/status/1065718710466428928" TargetMode="External"/><Relationship Id="rId949" Type="http://schemas.openxmlformats.org/officeDocument/2006/relationships/hyperlink" Target="https://www.lavanguardia.com/politica/20181123/453103126896/organizacion-mundial-tortura-liberar-inmediatamente-jordi-cuixart-jordi-sanchez.html?utm_source=twitter_lv&amp;utm_medium=social" TargetMode="External"/><Relationship Id="rId1134" Type="http://schemas.openxmlformats.org/officeDocument/2006/relationships/hyperlink" Target="https://www.elmundo.es/economia/2018/11/18/5bf05549e2704efb6b8b459f.html" TargetMode="External"/><Relationship Id="rId1341" Type="http://schemas.openxmlformats.org/officeDocument/2006/relationships/hyperlink" Target="http://pic.twitter.com/mHo828sffM" TargetMode="External"/><Relationship Id="rId1786" Type="http://schemas.openxmlformats.org/officeDocument/2006/relationships/hyperlink" Target="http://www.elclubdelosviernes.org/" TargetMode="External"/><Relationship Id="rId1993" Type="http://schemas.openxmlformats.org/officeDocument/2006/relationships/hyperlink" Target="https://itunes.apple.com/es/book/gettysburg-1863/id665369445?mt=11" TargetMode="External"/><Relationship Id="rId2837" Type="http://schemas.openxmlformats.org/officeDocument/2006/relationships/hyperlink" Target="http://www.granma.cu/mundo/2018-11-21/biografia-oficial-del-excmo-sr-pedro-sanchez-perez-castejon-presidente-del-gobierno-del-reino-de-espana-21-11-2018-20-11-30" TargetMode="External"/><Relationship Id="rId78" Type="http://schemas.openxmlformats.org/officeDocument/2006/relationships/hyperlink" Target="https://pbs.twimg.com/media/Dssd95zXoAEgC7m.jpg" TargetMode="External"/><Relationship Id="rId809" Type="http://schemas.openxmlformats.org/officeDocument/2006/relationships/hyperlink" Target="http://www.ciudadanos-cs.org/" TargetMode="External"/><Relationship Id="rId1201" Type="http://schemas.openxmlformats.org/officeDocument/2006/relationships/hyperlink" Target="http://ww.cope.es/ziwwv2" TargetMode="External"/><Relationship Id="rId1439" Type="http://schemas.openxmlformats.org/officeDocument/2006/relationships/hyperlink" Target="https://www.facebook.com/HabanaRadio/videos/368527477251564/" TargetMode="External"/><Relationship Id="rId1646" Type="http://schemas.openxmlformats.org/officeDocument/2006/relationships/hyperlink" Target="http://www.wradio.com.co/" TargetMode="External"/><Relationship Id="rId1853" Type="http://schemas.openxmlformats.org/officeDocument/2006/relationships/hyperlink" Target="https://ift.tt/2DDFdxD" TargetMode="External"/><Relationship Id="rId2904" Type="http://schemas.openxmlformats.org/officeDocument/2006/relationships/hyperlink" Target="https://goo.gl/npRaFd" TargetMode="External"/><Relationship Id="rId3099" Type="http://schemas.openxmlformats.org/officeDocument/2006/relationships/hyperlink" Target="https://ift.tt/2TB8sqw" TargetMode="External"/><Relationship Id="rId1506" Type="http://schemas.openxmlformats.org/officeDocument/2006/relationships/hyperlink" Target="https://mundo.sputniknews.com/politica/201811231083625746-visita-pedro-sanchez-la-habana/" TargetMode="External"/><Relationship Id="rId1713" Type="http://schemas.openxmlformats.org/officeDocument/2006/relationships/hyperlink" Target="http://arielocracia.blogspot.com/" TargetMode="External"/><Relationship Id="rId1920" Type="http://schemas.openxmlformats.org/officeDocument/2006/relationships/hyperlink" Target="http://www.noticierodigital.com/" TargetMode="External"/><Relationship Id="rId3166" Type="http://schemas.openxmlformats.org/officeDocument/2006/relationships/hyperlink" Target="https://www.abc.es/espana/abci-gobierno-destituye-abogado-estado-proponia-acusar-rebelion-lideres-proces-201811211822_noticia.html" TargetMode="External"/><Relationship Id="rId3373" Type="http://schemas.openxmlformats.org/officeDocument/2006/relationships/hyperlink" Target="https://www.facebook.com/MilitaresConFuturo/" TargetMode="External"/><Relationship Id="rId3580" Type="http://schemas.openxmlformats.org/officeDocument/2006/relationships/hyperlink" Target="https://pbs.twimg.com/media/Dsl9JaRVAAAFmGz.jpg" TargetMode="External"/><Relationship Id="rId294" Type="http://schemas.openxmlformats.org/officeDocument/2006/relationships/hyperlink" Target="https://ift.tt/2R8Rb6n" TargetMode="External"/><Relationship Id="rId2182" Type="http://schemas.openxmlformats.org/officeDocument/2006/relationships/hyperlink" Target="https://www.elmundo.es/internacional/2018/11/22/5bf6b01b468aeb352a8b463a.html" TargetMode="External"/><Relationship Id="rId3026" Type="http://schemas.openxmlformats.org/officeDocument/2006/relationships/hyperlink" Target="https://pbs.twimg.com/media/Dsna4R0WkAASc3Y.jpg" TargetMode="External"/><Relationship Id="rId3233" Type="http://schemas.openxmlformats.org/officeDocument/2006/relationships/hyperlink" Target="http://elespectadorvenezolano.blogspot.com/" TargetMode="External"/><Relationship Id="rId154" Type="http://schemas.openxmlformats.org/officeDocument/2006/relationships/hyperlink" Target="http://elangeldeolavide.blogspot.com/" TargetMode="External"/><Relationship Id="rId361" Type="http://schemas.openxmlformats.org/officeDocument/2006/relationships/hyperlink" Target="http://www.despiertainfo.com/2018/11/20/la-rfef-desautoriza-a-pedro-sanchez-para-organizar-el-mundial-con-marruecos-en-2030/?fbclid=IwAR3omCpI0IZfryfqHZxgHL8fKWs3GrU7gd0vXW1-F2kLhDllWKg4qtlS37g" TargetMode="External"/><Relationship Id="rId599" Type="http://schemas.openxmlformats.org/officeDocument/2006/relationships/hyperlink" Target="https://www.elconfidencial.com/espana/2018-11-23/pedro-sanchez-adelanto-electoral-superdomingo-barones_1663322/?utm_campaign=BotoneraWebapp&amp;utm_source=twitter&amp;utm_medium=social" TargetMode="External"/><Relationship Id="rId2042" Type="http://schemas.openxmlformats.org/officeDocument/2006/relationships/hyperlink" Target="https://www.veoinfo.com/pedro-sanchez-insiste-en-la-oposicion-de-espana-sobre-gibraltar-si-no-hay-cambios-vetaremos-el-brexit/" TargetMode="External"/><Relationship Id="rId2487" Type="http://schemas.openxmlformats.org/officeDocument/2006/relationships/hyperlink" Target="https://okdiario.com/espana/2018/11/21/sanchez-mando-coche-oficial-vacio-valladolid-hacer-8-kms-del-aeropuerto-ciudad-3377374" TargetMode="External"/><Relationship Id="rId2694" Type="http://schemas.openxmlformats.org/officeDocument/2006/relationships/hyperlink" Target="https://ift.tt/2FBGqIy" TargetMode="External"/><Relationship Id="rId3440" Type="http://schemas.openxmlformats.org/officeDocument/2006/relationships/hyperlink" Target="https://bit.ly/2QYwDxb" TargetMode="External"/><Relationship Id="rId3538" Type="http://schemas.openxmlformats.org/officeDocument/2006/relationships/hyperlink" Target="http://www.periodistadigital.com/politica/gobierno/2018/11/20/la-escalofriante-cifra-que-se-ha-gastado-pedro-sanchez-en-la-moncloa-para-estar-caliente.shtml" TargetMode="External"/><Relationship Id="rId459" Type="http://schemas.openxmlformats.org/officeDocument/2006/relationships/hyperlink" Target="https://www.diariolasamericas.com/c4167024" TargetMode="External"/><Relationship Id="rId666" Type="http://schemas.openxmlformats.org/officeDocument/2006/relationships/hyperlink" Target="https://pbs.twimg.com/media/Dsrf_CiXoAAvAs_.jpg" TargetMode="External"/><Relationship Id="rId873" Type="http://schemas.openxmlformats.org/officeDocument/2006/relationships/hyperlink" Target="https://www.elconfidencialdigital.com/articulo/dinero/pedro-sanchez-ampliara-decreto-enero-permisos-paternidad/20181121190407118402.html" TargetMode="External"/><Relationship Id="rId1089" Type="http://schemas.openxmlformats.org/officeDocument/2006/relationships/hyperlink" Target="http://instagram.com/emiliocabrera7" TargetMode="External"/><Relationship Id="rId1296" Type="http://schemas.openxmlformats.org/officeDocument/2006/relationships/hyperlink" Target="http://pic.twitter.com/f6bMYwQzm0" TargetMode="External"/><Relationship Id="rId2347" Type="http://schemas.openxmlformats.org/officeDocument/2006/relationships/hyperlink" Target="http://about.me/domroberto" TargetMode="External"/><Relationship Id="rId2554" Type="http://schemas.openxmlformats.org/officeDocument/2006/relationships/hyperlink" Target="http://www.futbol-addict.com/es/news/liga-santander/deportivo-la-coruna" TargetMode="External"/><Relationship Id="rId2999" Type="http://schemas.openxmlformats.org/officeDocument/2006/relationships/hyperlink" Target="http://gacetinmadrid.com/" TargetMode="External"/><Relationship Id="rId3300" Type="http://schemas.openxmlformats.org/officeDocument/2006/relationships/hyperlink" Target="http://14ymedio.com/" TargetMode="External"/><Relationship Id="rId221" Type="http://schemas.openxmlformats.org/officeDocument/2006/relationships/hyperlink" Target="https://www.facebook.com/pages/Tuiteo-Barquisimeto/613972641961403" TargetMode="External"/><Relationship Id="rId319" Type="http://schemas.openxmlformats.org/officeDocument/2006/relationships/hyperlink" Target="http://tardedesiempre.blogpost.com/" TargetMode="External"/><Relationship Id="rId526" Type="http://schemas.openxmlformats.org/officeDocument/2006/relationships/hyperlink" Target="http://www.cambio16.com/" TargetMode="External"/><Relationship Id="rId1156" Type="http://schemas.openxmlformats.org/officeDocument/2006/relationships/hyperlink" Target="http://www.periodistadigital.com/periodismo/prensa/2018/11/22/alfonso-ussia-borra-sonrisa-egolatra-sanchez-manda-volando-psiquiatrico.shtml" TargetMode="External"/><Relationship Id="rId1363" Type="http://schemas.openxmlformats.org/officeDocument/2006/relationships/hyperlink" Target="http://bit.ly/RTn_SocialPubli" TargetMode="External"/><Relationship Id="rId2207" Type="http://schemas.openxmlformats.org/officeDocument/2006/relationships/hyperlink" Target="http://abc.es/" TargetMode="External"/><Relationship Id="rId2761" Type="http://schemas.openxmlformats.org/officeDocument/2006/relationships/hyperlink" Target="https://www.14ymedio.com/reportajes/yumas-cosa-pepes-familia_0_2551544825.html" TargetMode="External"/><Relationship Id="rId2859" Type="http://schemas.openxmlformats.org/officeDocument/2006/relationships/hyperlink" Target="http://www.zonadepor.net/" TargetMode="External"/><Relationship Id="rId733" Type="http://schemas.openxmlformats.org/officeDocument/2006/relationships/hyperlink" Target="http://elconfidencial.com/" TargetMode="External"/><Relationship Id="rId940" Type="http://schemas.openxmlformats.org/officeDocument/2006/relationships/hyperlink" Target="https://twitter.com/pmusifloren/status/1065837017735602177" TargetMode="External"/><Relationship Id="rId1016" Type="http://schemas.openxmlformats.org/officeDocument/2006/relationships/hyperlink" Target="https://ift.tt/2S9cnsT" TargetMode="External"/><Relationship Id="rId1570" Type="http://schemas.openxmlformats.org/officeDocument/2006/relationships/hyperlink" Target="http://www.cubatv.icrt.cu/" TargetMode="External"/><Relationship Id="rId1668" Type="http://schemas.openxmlformats.org/officeDocument/2006/relationships/hyperlink" Target="http://www.cubahora.cu/" TargetMode="External"/><Relationship Id="rId1875" Type="http://schemas.openxmlformats.org/officeDocument/2006/relationships/hyperlink" Target="https://pbs.twimg.com/media/DspILRxW0AAFSKK.jpg" TargetMode="External"/><Relationship Id="rId2414" Type="http://schemas.openxmlformats.org/officeDocument/2006/relationships/hyperlink" Target="https://www.hechosdehoy.com/theresa-may-desvela-lo-que-advirtio-a-pedro-sanchez-sobre-gibraltar-70280.htm" TargetMode="External"/><Relationship Id="rId2621" Type="http://schemas.openxmlformats.org/officeDocument/2006/relationships/hyperlink" Target="http://www.hazteoir.org/" TargetMode="External"/><Relationship Id="rId2719" Type="http://schemas.openxmlformats.org/officeDocument/2006/relationships/hyperlink" Target="http://radioequinoccio.com/" TargetMode="External"/><Relationship Id="rId800" Type="http://schemas.openxmlformats.org/officeDocument/2006/relationships/hyperlink" Target="https://pbs.twimg.com/media/Dsqe20bXoAAEUSv.jpg" TargetMode="External"/><Relationship Id="rId1223" Type="http://schemas.openxmlformats.org/officeDocument/2006/relationships/hyperlink" Target="http://www.tabarnia.es/" TargetMode="External"/><Relationship Id="rId1430" Type="http://schemas.openxmlformats.org/officeDocument/2006/relationships/hyperlink" Target="https://es.rt.com/6cui" TargetMode="External"/><Relationship Id="rId1528" Type="http://schemas.openxmlformats.org/officeDocument/2006/relationships/hyperlink" Target="http://es.mdn.tv/1AZ6" TargetMode="External"/><Relationship Id="rId2926" Type="http://schemas.openxmlformats.org/officeDocument/2006/relationships/hyperlink" Target="http://chn.ge/2IkP4Je" TargetMode="External"/><Relationship Id="rId3090" Type="http://schemas.openxmlformats.org/officeDocument/2006/relationships/hyperlink" Target="https://pbs.twimg.com/media/DsnS7BUXoAAPgVS.jpg" TargetMode="External"/><Relationship Id="rId1735" Type="http://schemas.openxmlformats.org/officeDocument/2006/relationships/hyperlink" Target="https://pbs.twimg.com/media/DspVzh6VsAIyI2j.jpg" TargetMode="External"/><Relationship Id="rId1942" Type="http://schemas.openxmlformats.org/officeDocument/2006/relationships/hyperlink" Target="https://actualidad.rt.com/actualidad/296586-pedro-sanchez-hablar-theresa-may" TargetMode="External"/><Relationship Id="rId3188" Type="http://schemas.openxmlformats.org/officeDocument/2006/relationships/hyperlink" Target="https://pbs.twimg.com/media/DsnJsSVWwAEd1s-.jpg" TargetMode="External"/><Relationship Id="rId3395" Type="http://schemas.openxmlformats.org/officeDocument/2006/relationships/hyperlink" Target="https://lapaseata.net/" TargetMode="External"/><Relationship Id="rId27" Type="http://schemas.openxmlformats.org/officeDocument/2006/relationships/hyperlink" Target="http://lasizoillo.com/" TargetMode="External"/><Relationship Id="rId1802" Type="http://schemas.openxmlformats.org/officeDocument/2006/relationships/hyperlink" Target="https://okdiario.com/espana/2018/11/22/pedro-sanchez-llega-habana-reunirse-dictador-diaz-canel-3382248" TargetMode="External"/><Relationship Id="rId3048" Type="http://schemas.openxmlformats.org/officeDocument/2006/relationships/hyperlink" Target="http://www.mercacei.com/" TargetMode="External"/><Relationship Id="rId3255" Type="http://schemas.openxmlformats.org/officeDocument/2006/relationships/hyperlink" Target="http://www.lapastira.com/" TargetMode="External"/><Relationship Id="rId3462" Type="http://schemas.openxmlformats.org/officeDocument/2006/relationships/hyperlink" Target="https://okdiario.com/espana/2018/11/21/diputado-erc-escupe-ministro-borrell-ser-expulsado-rufian-del-hemiciclo-3374692?utm_source=onesignal&amp;utm_medium=notificacion" TargetMode="External"/><Relationship Id="rId176" Type="http://schemas.openxmlformats.org/officeDocument/2006/relationships/hyperlink" Target="http://www.revistavanityfair.es/" TargetMode="External"/><Relationship Id="rId383" Type="http://schemas.openxmlformats.org/officeDocument/2006/relationships/hyperlink" Target="https://pbs.twimg.com/media/DssFRPoXgAAuttK.jpg" TargetMode="External"/><Relationship Id="rId590" Type="http://schemas.openxmlformats.org/officeDocument/2006/relationships/hyperlink" Target="http://fomentoenvivo.wordpress.com/" TargetMode="External"/><Relationship Id="rId2064" Type="http://schemas.openxmlformats.org/officeDocument/2006/relationships/hyperlink" Target="http://www.ondacero.es/" TargetMode="External"/><Relationship Id="rId2271" Type="http://schemas.openxmlformats.org/officeDocument/2006/relationships/hyperlink" Target="http://www.v24news.com/" TargetMode="External"/><Relationship Id="rId3115" Type="http://schemas.openxmlformats.org/officeDocument/2006/relationships/hyperlink" Target="http://www.rcdeportivo.es/" TargetMode="External"/><Relationship Id="rId3322" Type="http://schemas.openxmlformats.org/officeDocument/2006/relationships/hyperlink" Target="https://pbs.twimg.com/media/Dsm7hK1X4AAK6_U.jpg" TargetMode="External"/><Relationship Id="rId243" Type="http://schemas.openxmlformats.org/officeDocument/2006/relationships/hyperlink" Target="https://okdiario.com/internacional/2018/11/23/cuba-firma-espana-primera-vez-memorando-consultas-politicas-hablar-derechos-humanos-3382582" TargetMode="External"/><Relationship Id="rId450" Type="http://schemas.openxmlformats.org/officeDocument/2006/relationships/hyperlink" Target="https://ibae.am/2r3iPq8" TargetMode="External"/><Relationship Id="rId688" Type="http://schemas.openxmlformats.org/officeDocument/2006/relationships/hyperlink" Target="https://www.economiadigital.es/politica-y-sociedad/el-ibex-senala-el-fin-del-gobierno-de-pedro-sanchez_590507_102.html" TargetMode="External"/><Relationship Id="rId895" Type="http://schemas.openxmlformats.org/officeDocument/2006/relationships/hyperlink" Target="https://www.20minutos.es/noticia/3499202/0/pedro-sanchez-viaje-cuba-reunion-diaz-canel-habana-llega/?utm_source=twitter.com&amp;utm_medium=socialshare&amp;utm_campaign=desktop" TargetMode="External"/><Relationship Id="rId1080" Type="http://schemas.openxmlformats.org/officeDocument/2006/relationships/hyperlink" Target="https://www.elperiodico.com/es/politica/20181122/pnv-arranca-pedro-sanchez-competencias-para-euskadi-7162799?utm_source=twitter&amp;utm_medium=social" TargetMode="External"/><Relationship Id="rId2131" Type="http://schemas.openxmlformats.org/officeDocument/2006/relationships/hyperlink" Target="https://twitter.com/sanchezcastejon/status/1065718710466428928" TargetMode="External"/><Relationship Id="rId2369" Type="http://schemas.openxmlformats.org/officeDocument/2006/relationships/hyperlink" Target="https://www.elconfidencialdigital.com/articulo/dinero/pedro-sanchez-ampliara-decreto-enero-permisos-paternidad/20181121190407118402.amp.html?__twitter_impression=true" TargetMode="External"/><Relationship Id="rId2576" Type="http://schemas.openxmlformats.org/officeDocument/2006/relationships/hyperlink" Target="https://pbs.twimg.com/media/Dsj_E1WU0AAw5qY.jpg" TargetMode="External"/><Relationship Id="rId2783" Type="http://schemas.openxmlformats.org/officeDocument/2006/relationships/hyperlink" Target="http://esradio.libertaddigital.com/es-la-tarde-de-dieter/" TargetMode="External"/><Relationship Id="rId2990" Type="http://schemas.openxmlformats.org/officeDocument/2006/relationships/hyperlink" Target="https://www.elcomercio.es/economia/trabajo/marcha-negra-mineros-leon-asturias-oviedo-20181122154413-nt.html" TargetMode="External"/><Relationship Id="rId103" Type="http://schemas.openxmlformats.org/officeDocument/2006/relationships/hyperlink" Target="https://pbs.twimg.com/media/DsrUGxQWkAAZIhb.jpg" TargetMode="External"/><Relationship Id="rId310" Type="http://schemas.openxmlformats.org/officeDocument/2006/relationships/hyperlink" Target="https://pbs.twimg.com/media/DssLqsHXcAANncr.jpg" TargetMode="External"/><Relationship Id="rId548" Type="http://schemas.openxmlformats.org/officeDocument/2006/relationships/hyperlink" Target="http://bit.ly/2zptoZf" TargetMode="External"/><Relationship Id="rId755" Type="http://schemas.openxmlformats.org/officeDocument/2006/relationships/hyperlink" Target="https://pbs.twimg.com/media/DsrgjRDWsAEuQ2v.jpg" TargetMode="External"/><Relationship Id="rId962" Type="http://schemas.openxmlformats.org/officeDocument/2006/relationships/hyperlink" Target="https://pbs.twimg.com/media/DsrG9OZWwAAEP_E.jpg" TargetMode="External"/><Relationship Id="rId1178" Type="http://schemas.openxmlformats.org/officeDocument/2006/relationships/hyperlink" Target="https://www.revistavanityfair.es/poder/articulos/reina-sofia-con-ana-botella-local-clandestino-viaje-a-cuba-la-habana-visita-pedro-sanchez-fidel-castro-reyes-espana/34800" TargetMode="External"/><Relationship Id="rId1385" Type="http://schemas.openxmlformats.org/officeDocument/2006/relationships/hyperlink" Target="https://www.elespanol.com/opinion/tribunas/20181123/carta-abierta-cubano-pedro-sanchez/355334465_12.html" TargetMode="External"/><Relationship Id="rId1592" Type="http://schemas.openxmlformats.org/officeDocument/2006/relationships/hyperlink" Target="https://www.periodistadigital.com/politica/gobierno/2018/11/23/el-ridiculo-del-inepto-pedro-sanchez-ante-theresa-may-y-su-venganza-por-gibraltar.shtml" TargetMode="External"/><Relationship Id="rId2229" Type="http://schemas.openxmlformats.org/officeDocument/2006/relationships/hyperlink" Target="http://atres.red/4ncii" TargetMode="External"/><Relationship Id="rId2436" Type="http://schemas.openxmlformats.org/officeDocument/2006/relationships/hyperlink" Target="https://ift.tt/2TvqTwG" TargetMode="External"/><Relationship Id="rId2643" Type="http://schemas.openxmlformats.org/officeDocument/2006/relationships/hyperlink" Target="https://pbs.twimg.com/media/Dsn56ddXcAIN5_K.jpg" TargetMode="External"/><Relationship Id="rId2850" Type="http://schemas.openxmlformats.org/officeDocument/2006/relationships/hyperlink" Target="http://diario16.com/la-ocde-fmi-tratan-frenar-las-politicas-sociales-sanchez/" TargetMode="External"/><Relationship Id="rId91" Type="http://schemas.openxmlformats.org/officeDocument/2006/relationships/hyperlink" Target="https://pbs.twimg.com/media/DsscutSXoAMbxzm.jpg" TargetMode="External"/><Relationship Id="rId408" Type="http://schemas.openxmlformats.org/officeDocument/2006/relationships/hyperlink" Target="https://actualidad.rt.com/actualidad/296596-pedro-sanchez-reune-miguel-diaz" TargetMode="External"/><Relationship Id="rId615" Type="http://schemas.openxmlformats.org/officeDocument/2006/relationships/hyperlink" Target="http://www.occuworld.org/" TargetMode="External"/><Relationship Id="rId822" Type="http://schemas.openxmlformats.org/officeDocument/2006/relationships/hyperlink" Target="https://pbs.twimg.com/media/DsrYTO1X4Ac5Mri.jpg" TargetMode="External"/><Relationship Id="rId1038" Type="http://schemas.openxmlformats.org/officeDocument/2006/relationships/hyperlink" Target="https://www.eleconomista.es/economia/noticias/9538133/11/18/Espana-acusa-a-la-UE-y-Reino-Unido-de-modificar-el-acuerdo-con-nocturnidad-y-alevosia.html" TargetMode="External"/><Relationship Id="rId1245" Type="http://schemas.openxmlformats.org/officeDocument/2006/relationships/hyperlink" Target="http://epmundo.com/2018/theresa-may-le-saca-las-garras-al-gobierno-de-pedro-sanchez/" TargetMode="External"/><Relationship Id="rId1452" Type="http://schemas.openxmlformats.org/officeDocument/2006/relationships/hyperlink" Target="https://rreloj.wordpress.com/" TargetMode="External"/><Relationship Id="rId1897" Type="http://schemas.openxmlformats.org/officeDocument/2006/relationships/hyperlink" Target="https://www.europapress.es/nacional/noticia-pedro-sanchez-exige-rufian-casado-pidan-disculpas-insultos-parlamento-20181121213453.html" TargetMode="External"/><Relationship Id="rId2503" Type="http://schemas.openxmlformats.org/officeDocument/2006/relationships/hyperlink" Target="http://venceremos.cu/guantanamo-cuba-noticias-nacionales/15579-llegara-hoy-a-cuba-pedro-sanchez-presidente-del-gobierno-de-espana" TargetMode="External"/><Relationship Id="rId2948" Type="http://schemas.openxmlformats.org/officeDocument/2006/relationships/hyperlink" Target="http://www.multiforo.eu/Noticias/2018/Noviembre/Noviembre_22.htm" TargetMode="External"/><Relationship Id="rId1105" Type="http://schemas.openxmlformats.org/officeDocument/2006/relationships/hyperlink" Target="http://antonioperal.blogspot.com/" TargetMode="External"/><Relationship Id="rId1312" Type="http://schemas.openxmlformats.org/officeDocument/2006/relationships/hyperlink" Target="http://www.partidofamiliayvida.es/" TargetMode="External"/><Relationship Id="rId1757" Type="http://schemas.openxmlformats.org/officeDocument/2006/relationships/hyperlink" Target="http://es.wikinews.org/" TargetMode="External"/><Relationship Id="rId1964" Type="http://schemas.openxmlformats.org/officeDocument/2006/relationships/hyperlink" Target="https://okdiario.com/espana/2018/11/21/sanchez-mando-coche-oficial-vacio-valladolid-hacer-8-kms-del-aeropuerto-ciudad-3377374" TargetMode="External"/><Relationship Id="rId2710" Type="http://schemas.openxmlformats.org/officeDocument/2006/relationships/hyperlink" Target="http://www.aportasport.com/" TargetMode="External"/><Relationship Id="rId2808" Type="http://schemas.openxmlformats.org/officeDocument/2006/relationships/hyperlink" Target="https://www.libertaddigital.com/espana/2018-11-21/pedro-sanchez-pide-a-casado-y-rufian-que-pidan-discupas-por-el-escupitajo-de-erc-a-borell-1276628638/" TargetMode="External"/><Relationship Id="rId49" Type="http://schemas.openxmlformats.org/officeDocument/2006/relationships/hyperlink" Target="https://www.economiadigital.es/politica-y-sociedad/el-ibex-senala-el-fin-del-gobierno-de-pedro-sanchez_590507_102.html" TargetMode="External"/><Relationship Id="rId1617" Type="http://schemas.openxmlformats.org/officeDocument/2006/relationships/hyperlink" Target="http://bit.ly/2P2BNqw" TargetMode="External"/><Relationship Id="rId1824" Type="http://schemas.openxmlformats.org/officeDocument/2006/relationships/hyperlink" Target="http://www.nuevarevolucion.es/" TargetMode="External"/><Relationship Id="rId3277" Type="http://schemas.openxmlformats.org/officeDocument/2006/relationships/hyperlink" Target="http://bit.ly/2zlia7I" TargetMode="External"/><Relationship Id="rId198" Type="http://schemas.openxmlformats.org/officeDocument/2006/relationships/hyperlink" Target="https://ift.tt/2DDuFPg" TargetMode="External"/><Relationship Id="rId2086" Type="http://schemas.openxmlformats.org/officeDocument/2006/relationships/hyperlink" Target="https://pbs.twimg.com/media/Dso3APdX4AAvn0g.jpg" TargetMode="External"/><Relationship Id="rId3484" Type="http://schemas.openxmlformats.org/officeDocument/2006/relationships/hyperlink" Target="https://piramide5n.wordpress.com/2018/11/22/theresa-may-conversa-con-pedro-sanchez-del-acuerdo-del-brexit/" TargetMode="External"/><Relationship Id="rId2293" Type="http://schemas.openxmlformats.org/officeDocument/2006/relationships/hyperlink" Target="https://www.que.es/ultimas-noticias/el-lapsus-de-pedro-sanchez-las-elecciones-las-hare-cuando-crea-que-son-beneficiosas-para-los-intereses-generales-del-part-pais.html" TargetMode="External"/><Relationship Id="rId2598" Type="http://schemas.openxmlformats.org/officeDocument/2006/relationships/hyperlink" Target="http://www.elmundo.es/cataluna/2018/06/10/5b1c2af8e5fdeaf4078b46a9.html" TargetMode="External"/><Relationship Id="rId3137" Type="http://schemas.openxmlformats.org/officeDocument/2006/relationships/hyperlink" Target="http://javiersobrevive.blogspot.com.es/" TargetMode="External"/><Relationship Id="rId3344" Type="http://schemas.openxmlformats.org/officeDocument/2006/relationships/hyperlink" Target="https://pbs.twimg.com/media/Dsm4mDxXQAAY8ia.jpg" TargetMode="External"/><Relationship Id="rId3551" Type="http://schemas.openxmlformats.org/officeDocument/2006/relationships/hyperlink" Target="http://atodomomento.com/" TargetMode="External"/><Relationship Id="rId265" Type="http://schemas.openxmlformats.org/officeDocument/2006/relationships/hyperlink" Target="https://noticierouniversal.com/actualidad/pablo-iglesias-el-chepas-dice-que-no-apoyara-a-pedro-sanchez-si-defiende-la-espanolidad-de-gibraltar-ante-el-reino-unido/" TargetMode="External"/><Relationship Id="rId472" Type="http://schemas.openxmlformats.org/officeDocument/2006/relationships/hyperlink" Target="https://pbs.twimg.com/media/Dsr7kimXgAUzQ2B.jpg" TargetMode="External"/><Relationship Id="rId2153" Type="http://schemas.openxmlformats.org/officeDocument/2006/relationships/hyperlink" Target="http://www.comerziacs.com/" TargetMode="External"/><Relationship Id="rId2360" Type="http://schemas.openxmlformats.org/officeDocument/2006/relationships/hyperlink" Target="http://www.notinewsmiami.com/" TargetMode="External"/><Relationship Id="rId3204" Type="http://schemas.openxmlformats.org/officeDocument/2006/relationships/hyperlink" Target="https://ift.tt/2DDghGw" TargetMode="External"/><Relationship Id="rId3411" Type="http://schemas.openxmlformats.org/officeDocument/2006/relationships/hyperlink" Target="https://pbs.twimg.com/media/DsmxGoMWkAA4y3P.jpg" TargetMode="External"/><Relationship Id="rId125" Type="http://schemas.openxmlformats.org/officeDocument/2006/relationships/hyperlink" Target="https://pbs.twimg.com/media/DssY85kWkAAu9OH.jpg" TargetMode="External"/><Relationship Id="rId332" Type="http://schemas.openxmlformats.org/officeDocument/2006/relationships/hyperlink" Target="http://eldesmarque.com/coruna" TargetMode="External"/><Relationship Id="rId777" Type="http://schemas.openxmlformats.org/officeDocument/2006/relationships/hyperlink" Target="http://pic.twitter.com/IdFWeiVMjU" TargetMode="External"/><Relationship Id="rId984" Type="http://schemas.openxmlformats.org/officeDocument/2006/relationships/hyperlink" Target="http://oncenoticias.tv/" TargetMode="External"/><Relationship Id="rId2013" Type="http://schemas.openxmlformats.org/officeDocument/2006/relationships/hyperlink" Target="https://es.rt.com/6cui" TargetMode="External"/><Relationship Id="rId2220" Type="http://schemas.openxmlformats.org/officeDocument/2006/relationships/hyperlink" Target="http://porunacubaendemocracia.blogspot.com/" TargetMode="External"/><Relationship Id="rId2458" Type="http://schemas.openxmlformats.org/officeDocument/2006/relationships/hyperlink" Target="https://www.libertaddigital.com/espana/2018-11-22/pedro-sanchez-viaja-a-cuba-para-rendir-pleitesia-al-regimen-castrista-1276628700/" TargetMode="External"/><Relationship Id="rId2665" Type="http://schemas.openxmlformats.org/officeDocument/2006/relationships/hyperlink" Target="http://www.noticiasparamunicipios.com/" TargetMode="External"/><Relationship Id="rId2872" Type="http://schemas.openxmlformats.org/officeDocument/2006/relationships/hyperlink" Target="http://youtu.be/OBEluUwFIu0?a" TargetMode="External"/><Relationship Id="rId3509" Type="http://schemas.openxmlformats.org/officeDocument/2006/relationships/hyperlink" Target="https://pbs.twimg.com/media/DsmkdCVXgAYWnjl.jpg" TargetMode="External"/><Relationship Id="rId637" Type="http://schemas.openxmlformats.org/officeDocument/2006/relationships/hyperlink" Target="https://www.europapress.es/nacional/noticia-pablo-iglesias-asegura-no-apoyara-pedro-sanchez-patrioterismos-extranos-relacion-gibraltar-20181123115328.html" TargetMode="External"/><Relationship Id="rId844" Type="http://schemas.openxmlformats.org/officeDocument/2006/relationships/hyperlink" Target="http://madrid.abc.es/c64ot1" TargetMode="External"/><Relationship Id="rId1267" Type="http://schemas.openxmlformats.org/officeDocument/2006/relationships/hyperlink" Target="http://www.rtve.es/n/1842361" TargetMode="External"/><Relationship Id="rId1474" Type="http://schemas.openxmlformats.org/officeDocument/2006/relationships/hyperlink" Target="http://www.ciases.org.ni/" TargetMode="External"/><Relationship Id="rId1681" Type="http://schemas.openxmlformats.org/officeDocument/2006/relationships/hyperlink" Target="https://pbs.twimg.com/media/Dspc4c3UcAAhbIu.jpg" TargetMode="External"/><Relationship Id="rId2318" Type="http://schemas.openxmlformats.org/officeDocument/2006/relationships/hyperlink" Target="http://camboyando.tumblr.com/" TargetMode="External"/><Relationship Id="rId2525" Type="http://schemas.openxmlformats.org/officeDocument/2006/relationships/hyperlink" Target="https://www.esdiario.com/547588891/Pedro-Sanchez-va-al-bano-en-helicoptero-todas-las-noches-dos-veces.html" TargetMode="External"/><Relationship Id="rId2732" Type="http://schemas.openxmlformats.org/officeDocument/2006/relationships/hyperlink" Target="http://www.cosasdeunabailarina.es/" TargetMode="External"/><Relationship Id="rId704" Type="http://schemas.openxmlformats.org/officeDocument/2006/relationships/hyperlink" Target="https://www.economiadigital.es/" TargetMode="External"/><Relationship Id="rId911" Type="http://schemas.openxmlformats.org/officeDocument/2006/relationships/hyperlink" Target="https://pbs.twimg.com/media/DsrE1YRWwAIAOTC.jpg" TargetMode="External"/><Relationship Id="rId1127" Type="http://schemas.openxmlformats.org/officeDocument/2006/relationships/hyperlink" Target="https://www.ondacero.es/directo/" TargetMode="External"/><Relationship Id="rId1334" Type="http://schemas.openxmlformats.org/officeDocument/2006/relationships/hyperlink" Target="http://bit.ly/2AgY7aa" TargetMode="External"/><Relationship Id="rId1541" Type="http://schemas.openxmlformats.org/officeDocument/2006/relationships/hyperlink" Target="https://pbs.twimg.com/media/DspyGe7U4AE-F3L.jpg" TargetMode="External"/><Relationship Id="rId1779" Type="http://schemas.openxmlformats.org/officeDocument/2006/relationships/hyperlink" Target="https://lapaseata.net/2018/11/22/socios-pedro-sanchez-degradan-democracia/" TargetMode="External"/><Relationship Id="rId1986" Type="http://schemas.openxmlformats.org/officeDocument/2006/relationships/hyperlink" Target="https://pbs.twimg.com/media/Dso-LRnUUAA37ZQ.jpg" TargetMode="External"/><Relationship Id="rId40" Type="http://schemas.openxmlformats.org/officeDocument/2006/relationships/hyperlink" Target="https://www.youtube.com/watch?v=-s4k2a-cyHY" TargetMode="External"/><Relationship Id="rId1401" Type="http://schemas.openxmlformats.org/officeDocument/2006/relationships/hyperlink" Target="http://dlvr.it/QrvPGG" TargetMode="External"/><Relationship Id="rId1639" Type="http://schemas.openxmlformats.org/officeDocument/2006/relationships/hyperlink" Target="https://okdiario.com/espana/2018/11/23/pedro-sanchez-reune-cupula-del-regimen-cubano-palacio-revolucion-3382388" TargetMode="External"/><Relationship Id="rId1846" Type="http://schemas.openxmlformats.org/officeDocument/2006/relationships/hyperlink" Target="http://www.cubaenmiami.com/presidente-espanol-pedro-sanchez-llega-a-cuba-para-visita-oficial/" TargetMode="External"/><Relationship Id="rId3061" Type="http://schemas.openxmlformats.org/officeDocument/2006/relationships/hyperlink" Target="http://confidencialandaluz.com/author/sanchezfornet/" TargetMode="External"/><Relationship Id="rId3299" Type="http://schemas.openxmlformats.org/officeDocument/2006/relationships/hyperlink" Target="https://pbs.twimg.com/media/Dsm9p7oWsAAfyGC.jpg" TargetMode="External"/><Relationship Id="rId1706" Type="http://schemas.openxmlformats.org/officeDocument/2006/relationships/hyperlink" Target="https://pbs.twimg.com/media/DspaSP7VsAAOzFW.jpg" TargetMode="External"/><Relationship Id="rId1913" Type="http://schemas.openxmlformats.org/officeDocument/2006/relationships/hyperlink" Target="https://pbs.twimg.com/media/DspEzYUVsAAz0NV.jpg" TargetMode="External"/><Relationship Id="rId3159" Type="http://schemas.openxmlformats.org/officeDocument/2006/relationships/hyperlink" Target="http://instagram.com/_chicadelacurva" TargetMode="External"/><Relationship Id="rId3366" Type="http://schemas.openxmlformats.org/officeDocument/2006/relationships/hyperlink" Target="http://www.victorriverola.com/" TargetMode="External"/><Relationship Id="rId3573" Type="http://schemas.openxmlformats.org/officeDocument/2006/relationships/hyperlink" Target="http://www.instagram.com/JaviTjader" TargetMode="External"/><Relationship Id="rId287" Type="http://schemas.openxmlformats.org/officeDocument/2006/relationships/hyperlink" Target="http://www.europapress.es/andalucia/" TargetMode="External"/><Relationship Id="rId494" Type="http://schemas.openxmlformats.org/officeDocument/2006/relationships/hyperlink" Target="https://pbs.twimg.com/media/Dsr6KRlWwAA1NQ8.jpg" TargetMode="External"/><Relationship Id="rId2175" Type="http://schemas.openxmlformats.org/officeDocument/2006/relationships/hyperlink" Target="https://okdiario.com/espana/2018/06/06/ministra-hacienda-esta-denunciada-prevaricacion-nombramientos-irregulares-andalucia-2390793" TargetMode="External"/><Relationship Id="rId2382" Type="http://schemas.openxmlformats.org/officeDocument/2006/relationships/hyperlink" Target="http://www.citizengo.org/hazteoir/166670-no-expolie-por-segunda-vez-archivo-salamanca?tc=tw&amp;tcid=52308369" TargetMode="External"/><Relationship Id="rId3019" Type="http://schemas.openxmlformats.org/officeDocument/2006/relationships/hyperlink" Target="http://www.ppbizkaia.com/" TargetMode="External"/><Relationship Id="rId3226" Type="http://schemas.openxmlformats.org/officeDocument/2006/relationships/hyperlink" Target="http://democraciarealxa.blogspot.com.es/2011/06/la-joven-democracia-sin-voz-cuento.html" TargetMode="External"/><Relationship Id="rId147" Type="http://schemas.openxmlformats.org/officeDocument/2006/relationships/hyperlink" Target="https://m.eldiario.es/_32001629" TargetMode="External"/><Relationship Id="rId354" Type="http://schemas.openxmlformats.org/officeDocument/2006/relationships/hyperlink" Target="https://pbs.twimg.com/media/Dsnlmk2X4AA_M1V.jpg" TargetMode="External"/><Relationship Id="rId799" Type="http://schemas.openxmlformats.org/officeDocument/2006/relationships/hyperlink" Target="https://pbs.twimg.com/media/DsrazodWoAAVn2d.jpg" TargetMode="External"/><Relationship Id="rId1191" Type="http://schemas.openxmlformats.org/officeDocument/2006/relationships/hyperlink" Target="https://www.elmundo.es/madrid/2018/11/23/5bf7067fca474131158b45ed.html" TargetMode="External"/><Relationship Id="rId2035" Type="http://schemas.openxmlformats.org/officeDocument/2006/relationships/hyperlink" Target="http://www.efe.com/" TargetMode="External"/><Relationship Id="rId2687" Type="http://schemas.openxmlformats.org/officeDocument/2006/relationships/hyperlink" Target="https://pbs.twimg.com/media/Dsn0vDQXoAAXNuV.jpg" TargetMode="External"/><Relationship Id="rId2894" Type="http://schemas.openxmlformats.org/officeDocument/2006/relationships/hyperlink" Target="https://www.abc.es/espana/abci-comision-senado-investiga-caso-tesis-pedira-comparecencia-sanchez-y-profesores-201811221125_noticia.html" TargetMode="External"/><Relationship Id="rId3433" Type="http://schemas.openxmlformats.org/officeDocument/2006/relationships/hyperlink" Target="https://okdiario.com/espana/2018/11/21/sanchez-mando-coche-oficial-vacio-valladolid-hacer-8-kms-del-aeropuerto-ciudad-3377374" TargetMode="External"/><Relationship Id="rId561" Type="http://schemas.openxmlformats.org/officeDocument/2006/relationships/hyperlink" Target="http://www.sonora.com.gt/" TargetMode="External"/><Relationship Id="rId659" Type="http://schemas.openxmlformats.org/officeDocument/2006/relationships/hyperlink" Target="http://www.sumarium.es/" TargetMode="External"/><Relationship Id="rId866" Type="http://schemas.openxmlformats.org/officeDocument/2006/relationships/hyperlink" Target="https://contrainformacion.es/espana-se-planta-ante-europa-por-gibraltar-un-acuerdo-sin-los-27-no-es-un-acuerdo-politico/" TargetMode="External"/><Relationship Id="rId1289" Type="http://schemas.openxmlformats.org/officeDocument/2006/relationships/hyperlink" Target="http://matarocapital.cat/" TargetMode="External"/><Relationship Id="rId1496" Type="http://schemas.openxmlformats.org/officeDocument/2006/relationships/hyperlink" Target="https://okdiario.com/espana/2018/11/23/pedro-sanchez-reune-cupula-del-regimen-cubano-palacio-revolucion-3382388" TargetMode="External"/><Relationship Id="rId2242" Type="http://schemas.openxmlformats.org/officeDocument/2006/relationships/hyperlink" Target="https://pbs.twimg.com/media/DsonF4sU4AAcE47.jpg" TargetMode="External"/><Relationship Id="rId2547" Type="http://schemas.openxmlformats.org/officeDocument/2006/relationships/hyperlink" Target="http://bit.ly/2PNaqWG" TargetMode="External"/><Relationship Id="rId3500" Type="http://schemas.openxmlformats.org/officeDocument/2006/relationships/hyperlink" Target="https://okdiario.com/espana/2018/11/21/pedro-sanchez-no-reunira-oposicion-viaje-cuba-3377734" TargetMode="External"/><Relationship Id="rId214" Type="http://schemas.openxmlformats.org/officeDocument/2006/relationships/hyperlink" Target="http://bit.ly/2FC5PBH" TargetMode="External"/><Relationship Id="rId421" Type="http://schemas.openxmlformats.org/officeDocument/2006/relationships/hyperlink" Target="https://paper.li/eddyElGallo/1387403102" TargetMode="External"/><Relationship Id="rId519" Type="http://schemas.openxmlformats.org/officeDocument/2006/relationships/hyperlink" Target="http://ow.ly/J8Mq30mlUtK" TargetMode="External"/><Relationship Id="rId1051" Type="http://schemas.openxmlformats.org/officeDocument/2006/relationships/hyperlink" Target="https://ift.tt/2S9cnsT" TargetMode="External"/><Relationship Id="rId1149" Type="http://schemas.openxmlformats.org/officeDocument/2006/relationships/hyperlink" Target="https://okdiario.com/espana/2018/11/23/pedro-sanchez-reune-cupula-del-regimen-cubano-palacio-revolucion-3382388" TargetMode="External"/><Relationship Id="rId1356" Type="http://schemas.openxmlformats.org/officeDocument/2006/relationships/hyperlink" Target="https://www.elconfidencial.com/espana/2018-11-23/pedro-sanchez-adelanto-electoral-superdomingo-barones_1663322/?utm_source=twitter&amp;utm_medium=social&amp;utm_campaign=NacionalDiarioAutomatico" TargetMode="External"/><Relationship Id="rId2102" Type="http://schemas.openxmlformats.org/officeDocument/2006/relationships/hyperlink" Target="https://www.elindependiente.com/politica/2018/11/22/sanchez-gibraltar-no-cambios-vetaremos-brexit/?utm_source=share_buttons&amp;utm_medium=facebook&amp;utm_campaign=social_share" TargetMode="External"/><Relationship Id="rId2754" Type="http://schemas.openxmlformats.org/officeDocument/2006/relationships/hyperlink" Target="http://www.periodistadigital.com/" TargetMode="External"/><Relationship Id="rId2961" Type="http://schemas.openxmlformats.org/officeDocument/2006/relationships/hyperlink" Target="http://trinidaddecubahoy.blogspot.com/" TargetMode="External"/><Relationship Id="rId726" Type="http://schemas.openxmlformats.org/officeDocument/2006/relationships/hyperlink" Target="https://ift.tt/2R7IVDL" TargetMode="External"/><Relationship Id="rId933" Type="http://schemas.openxmlformats.org/officeDocument/2006/relationships/hyperlink" Target="https://www.elconfidencialdigital.com/articulo/dinero/bofeton-sanchez-trump-aloja-cuba-hotel-iberostar-sancionado-eeuu/20181122182712118455.html" TargetMode="External"/><Relationship Id="rId1009" Type="http://schemas.openxmlformats.org/officeDocument/2006/relationships/hyperlink" Target="http://www.ecosdelbalon.com/" TargetMode="External"/><Relationship Id="rId1563" Type="http://schemas.openxmlformats.org/officeDocument/2006/relationships/hyperlink" Target="http://www.elnorte.com/" TargetMode="External"/><Relationship Id="rId1770" Type="http://schemas.openxmlformats.org/officeDocument/2006/relationships/hyperlink" Target="http://bit.ly/2TDEHoO" TargetMode="External"/><Relationship Id="rId1868" Type="http://schemas.openxmlformats.org/officeDocument/2006/relationships/hyperlink" Target="https://www.elperiodico.com/es/politica/20181122/pnv-arranca-pedro-sanchez-competencias-para-euskadi-7162799?utm_source=twitter&amp;utm_medium=social" TargetMode="External"/><Relationship Id="rId2407" Type="http://schemas.openxmlformats.org/officeDocument/2006/relationships/hyperlink" Target="http://www.marbellaconfidencial.es/pedro-sanchez-volvera-a-participar-el-martes-27-en-la-campana-en-un-mitin-en-marbella-junto-a-susana-diaz-222354096/" TargetMode="External"/><Relationship Id="rId2614" Type="http://schemas.openxmlformats.org/officeDocument/2006/relationships/hyperlink" Target="http://www.acapital.es/" TargetMode="External"/><Relationship Id="rId2821" Type="http://schemas.openxmlformats.org/officeDocument/2006/relationships/hyperlink" Target="https://www.libertaddigital.com/espana/2018-11-22/theresa-may-advierte-a-sanchez-al-asegurar-que-protegera-la-soberania-britanica-de-gibraltar-1276628691/" TargetMode="External"/><Relationship Id="rId62" Type="http://schemas.openxmlformats.org/officeDocument/2006/relationships/hyperlink" Target="https://pbs.twimg.com/media/DssfA8fU8AAW_B6.jpg" TargetMode="External"/><Relationship Id="rId1216" Type="http://schemas.openxmlformats.org/officeDocument/2006/relationships/hyperlink" Target="https://casoaislado.com/miles-espanoles-critican-pedro-sanchez-piden-dimision-tras-cargarse-al-abogado-del-estado-dimite-ya-traidor/" TargetMode="External"/><Relationship Id="rId1423" Type="http://schemas.openxmlformats.org/officeDocument/2006/relationships/hyperlink" Target="http://expresochiapas.com/noticias/2018/11/visita-historica-a-cuba-del-jefe-de-gobierno-espanol/" TargetMode="External"/><Relationship Id="rId1630" Type="http://schemas.openxmlformats.org/officeDocument/2006/relationships/hyperlink" Target="https://okdiario.com/espana/2018/11/23/pedro-sanchez-reune-cupula-del-regimen-cubano-palacio-revolucion-3382388" TargetMode="External"/><Relationship Id="rId2919" Type="http://schemas.openxmlformats.org/officeDocument/2006/relationships/hyperlink" Target="http://albertosanzblanco.wordpress.com/" TargetMode="External"/><Relationship Id="rId3083" Type="http://schemas.openxmlformats.org/officeDocument/2006/relationships/hyperlink" Target="https://pbs.twimg.com/media/DsnPpiOU4AEwp3f.jpg" TargetMode="External"/><Relationship Id="rId3290" Type="http://schemas.openxmlformats.org/officeDocument/2006/relationships/hyperlink" Target="https://elpais.com/elpais/2018/11/19/opinion/1542639769_020575.html?id_externo_rsoc=TW_CC" TargetMode="External"/><Relationship Id="rId1728" Type="http://schemas.openxmlformats.org/officeDocument/2006/relationships/hyperlink" Target="https://pbs.twimg.com/media/DsnEHM0W0AIFxRE.jpg" TargetMode="External"/><Relationship Id="rId1935" Type="http://schemas.openxmlformats.org/officeDocument/2006/relationships/hyperlink" Target="http://www.informesinbandera.com/" TargetMode="External"/><Relationship Id="rId3150" Type="http://schemas.openxmlformats.org/officeDocument/2006/relationships/hyperlink" Target="http://www.revistavanityfair.es/" TargetMode="External"/><Relationship Id="rId3388" Type="http://schemas.openxmlformats.org/officeDocument/2006/relationships/hyperlink" Target="https://ift.tt/2R5g3ft" TargetMode="External"/><Relationship Id="rId2197" Type="http://schemas.openxmlformats.org/officeDocument/2006/relationships/hyperlink" Target="http://www.youtube.com/user/TheBarbazul5" TargetMode="External"/><Relationship Id="rId3010" Type="http://schemas.openxmlformats.org/officeDocument/2006/relationships/hyperlink" Target="http://pic.twitter.com/LDzQucI82g" TargetMode="External"/><Relationship Id="rId3248" Type="http://schemas.openxmlformats.org/officeDocument/2006/relationships/hyperlink" Target="http://jorgebayamo.blogspot.com/" TargetMode="External"/><Relationship Id="rId3455" Type="http://schemas.openxmlformats.org/officeDocument/2006/relationships/hyperlink" Target="http://www.hechosdehoy.com/" TargetMode="External"/><Relationship Id="rId169" Type="http://schemas.openxmlformats.org/officeDocument/2006/relationships/hyperlink" Target="https://pbs.twimg.com/media/DssV9itXgAAMfyS.jpg" TargetMode="External"/><Relationship Id="rId376" Type="http://schemas.openxmlformats.org/officeDocument/2006/relationships/hyperlink" Target="http://estudioslatinoseiberoamericanos.wordpress.com/" TargetMode="External"/><Relationship Id="rId583" Type="http://schemas.openxmlformats.org/officeDocument/2006/relationships/hyperlink" Target="https://www.europapress.es/nacional/noticia-pablo-iglesias-asegura-no-apoyara-pedro-sanchez-patrioterismos-extranos-relacion-gibraltar-20181123115328.html" TargetMode="External"/><Relationship Id="rId790" Type="http://schemas.openxmlformats.org/officeDocument/2006/relationships/hyperlink" Target="http://dlvr.it/QrwG4n" TargetMode="External"/><Relationship Id="rId2057" Type="http://schemas.openxmlformats.org/officeDocument/2006/relationships/hyperlink" Target="https://curiouscat.me/" TargetMode="External"/><Relationship Id="rId2264" Type="http://schemas.openxmlformats.org/officeDocument/2006/relationships/hyperlink" Target="https://www.facebook.com/TecnologiaDelBotijo" TargetMode="External"/><Relationship Id="rId2471" Type="http://schemas.openxmlformats.org/officeDocument/2006/relationships/hyperlink" Target="https://www.mercacei.com/noticia/49802/actualidad/el-chef-pedro-sanchez-restaurante-baga-primer-cocinero-de-la-provincia-de-jaen-en-obtener-una-estrella-michelin.html" TargetMode="External"/><Relationship Id="rId3108" Type="http://schemas.openxmlformats.org/officeDocument/2006/relationships/hyperlink" Target="http://www.movilidadelectrica.com/" TargetMode="External"/><Relationship Id="rId3315" Type="http://schemas.openxmlformats.org/officeDocument/2006/relationships/hyperlink" Target="https://okdiario.com/espana/2018/11/21/ejercito-del-aire-tres-aviones-pedro-sanchez-3373984" TargetMode="External"/><Relationship Id="rId3522" Type="http://schemas.openxmlformats.org/officeDocument/2006/relationships/hyperlink" Target="https://www.lavanguardia.com/politica/20181122/453091224023/pedro-sanchez-theresa-may-gibraltar-brexit.html" TargetMode="External"/><Relationship Id="rId4" Type="http://schemas.openxmlformats.org/officeDocument/2006/relationships/hyperlink" Target="https://ift.tt/2R8Wdjo" TargetMode="External"/><Relationship Id="rId236" Type="http://schemas.openxmlformats.org/officeDocument/2006/relationships/hyperlink" Target="http://about.me/cjsaguilar" TargetMode="External"/><Relationship Id="rId443" Type="http://schemas.openxmlformats.org/officeDocument/2006/relationships/hyperlink" Target="https://okdiario.com/espana/2018/11/23/abogada-general-del-estado-defiende-primacia-del-catalan-euskera-gallego-sobre-espanol-3380447" TargetMode="External"/><Relationship Id="rId650" Type="http://schemas.openxmlformats.org/officeDocument/2006/relationships/hyperlink" Target="http://www.esglobal.org/" TargetMode="External"/><Relationship Id="rId888" Type="http://schemas.openxmlformats.org/officeDocument/2006/relationships/hyperlink" Target="https://okdiario.com/espana/2018/11/21/sanchez-mando-coche-oficial-vacio-valladolid-hacer-8-kms-del-aeropuerto-ciudad-3377374" TargetMode="External"/><Relationship Id="rId1073" Type="http://schemas.openxmlformats.org/officeDocument/2006/relationships/hyperlink" Target="https://pbs.twimg.com/media/DsrBUOaWkAE0xFS.jpg" TargetMode="External"/><Relationship Id="rId1280" Type="http://schemas.openxmlformats.org/officeDocument/2006/relationships/hyperlink" Target="http://donatiu8.blogspot.hu/" TargetMode="External"/><Relationship Id="rId2124" Type="http://schemas.openxmlformats.org/officeDocument/2006/relationships/hyperlink" Target="https://okdiario.com/espana/2018/11/21/ejercito-del-aire-tres-aviones-pedro-sanchez-3373984" TargetMode="External"/><Relationship Id="rId2331" Type="http://schemas.openxmlformats.org/officeDocument/2006/relationships/hyperlink" Target="https://pbs.twimg.com/media/DshvpkJX4AEZpod.jpg" TargetMode="External"/><Relationship Id="rId2569" Type="http://schemas.openxmlformats.org/officeDocument/2006/relationships/hyperlink" Target="http://www.multayuda.com/" TargetMode="External"/><Relationship Id="rId2776" Type="http://schemas.openxmlformats.org/officeDocument/2006/relationships/hyperlink" Target="http://elperroverdeverde.blogspot.com.es/?m=1" TargetMode="External"/><Relationship Id="rId2983" Type="http://schemas.openxmlformats.org/officeDocument/2006/relationships/hyperlink" Target="http://www.linkedin.com/in/frubira" TargetMode="External"/><Relationship Id="rId303" Type="http://schemas.openxmlformats.org/officeDocument/2006/relationships/hyperlink" Target="https://m.eldiario.es/32001629_838866473/" TargetMode="External"/><Relationship Id="rId748" Type="http://schemas.openxmlformats.org/officeDocument/2006/relationships/hyperlink" Target="http://www.atlas-news.com/agencia-internet/politica/Pedro-Sanchez-recibido-militares-Cuba_3_1510678924.html" TargetMode="External"/><Relationship Id="rId955" Type="http://schemas.openxmlformats.org/officeDocument/2006/relationships/hyperlink" Target="http://www.granma.cu/mundo/2018-11-20/espana-y-cuba-ante-un-nuevo-escenario-20-11-2018-20-11-25" TargetMode="External"/><Relationship Id="rId1140" Type="http://schemas.openxmlformats.org/officeDocument/2006/relationships/hyperlink" Target="https://fr.euronews.com/2018/11/23/cuba-visite-historique-de-pedro-sanchez" TargetMode="External"/><Relationship Id="rId1378" Type="http://schemas.openxmlformats.org/officeDocument/2006/relationships/hyperlink" Target="https://pbs.twimg.com/media/DsqQMkjXgAAh3SA.jpg" TargetMode="External"/><Relationship Id="rId1585" Type="http://schemas.openxmlformats.org/officeDocument/2006/relationships/hyperlink" Target="http://hispanosaldia.com/pedro-sanchez-es-primer-presidente-espanol-en-visitar-a-cuba-en-32-anos/" TargetMode="External"/><Relationship Id="rId1792" Type="http://schemas.openxmlformats.org/officeDocument/2006/relationships/hyperlink" Target="http://fideiius.blogspot.com/" TargetMode="External"/><Relationship Id="rId2429" Type="http://schemas.openxmlformats.org/officeDocument/2006/relationships/hyperlink" Target="http://consell.republicat.cat/" TargetMode="External"/><Relationship Id="rId2636" Type="http://schemas.openxmlformats.org/officeDocument/2006/relationships/hyperlink" Target="http://pic.twitter.com/IZ5UW7uMzR" TargetMode="External"/><Relationship Id="rId2843" Type="http://schemas.openxmlformats.org/officeDocument/2006/relationships/hyperlink" Target="http://instagram.com/@felixllerenacub" TargetMode="External"/><Relationship Id="rId84" Type="http://schemas.openxmlformats.org/officeDocument/2006/relationships/hyperlink" Target="https://pbs.twimg.com/media/Dssdu11XQAAi9Cg.jpg" TargetMode="External"/><Relationship Id="rId510" Type="http://schemas.openxmlformats.org/officeDocument/2006/relationships/hyperlink" Target="https://pbs.twimg.com/media/Dsr5VzrXQAA-Q1u.jpg" TargetMode="External"/><Relationship Id="rId608" Type="http://schemas.openxmlformats.org/officeDocument/2006/relationships/hyperlink" Target="https://www.ideal.es/almeria/almeria/pedro-sanchez-espana-20181123230847-nt.html" TargetMode="External"/><Relationship Id="rId815" Type="http://schemas.openxmlformats.org/officeDocument/2006/relationships/hyperlink" Target="https://www.youtube.com/channel/UCl-_iYBzcBZvjEoHp81MlUg" TargetMode="External"/><Relationship Id="rId1238" Type="http://schemas.openxmlformats.org/officeDocument/2006/relationships/hyperlink" Target="http://bit.ly/2BsFFNM" TargetMode="External"/><Relationship Id="rId1445" Type="http://schemas.openxmlformats.org/officeDocument/2006/relationships/hyperlink" Target="https://www.facebook.com/marisela.presa.75/posts/752515951766662" TargetMode="External"/><Relationship Id="rId1652" Type="http://schemas.openxmlformats.org/officeDocument/2006/relationships/hyperlink" Target="https://www.elmundo.es/espana/2018/11/21/5bf563b4e5fdea305a8b45c1.html" TargetMode="External"/><Relationship Id="rId1000" Type="http://schemas.openxmlformats.org/officeDocument/2006/relationships/hyperlink" Target="http://bit.ly/2BsQZJM" TargetMode="External"/><Relationship Id="rId1305" Type="http://schemas.openxmlformats.org/officeDocument/2006/relationships/hyperlink" Target="http://t13.cl/278468" TargetMode="External"/><Relationship Id="rId1957" Type="http://schemas.openxmlformats.org/officeDocument/2006/relationships/hyperlink" Target="http://www.noticierouniversal.com/" TargetMode="External"/><Relationship Id="rId2703" Type="http://schemas.openxmlformats.org/officeDocument/2006/relationships/hyperlink" Target="http://trabajadores.cu/" TargetMode="External"/><Relationship Id="rId2910" Type="http://schemas.openxmlformats.org/officeDocument/2006/relationships/hyperlink" Target="http://www.elmundo.es/internacional/2018/11/22/5bf6b01b468aeb352a8b463a.html" TargetMode="External"/><Relationship Id="rId1512" Type="http://schemas.openxmlformats.org/officeDocument/2006/relationships/hyperlink" Target="http://pic.twitter.com/NbKTOy7kyB" TargetMode="External"/><Relationship Id="rId1817" Type="http://schemas.openxmlformats.org/officeDocument/2006/relationships/hyperlink" Target="http://bit.ly/2FzbQz1" TargetMode="External"/><Relationship Id="rId3172" Type="http://schemas.openxmlformats.org/officeDocument/2006/relationships/hyperlink" Target="http://caraotadigital.net/" TargetMode="External"/><Relationship Id="rId11" Type="http://schemas.openxmlformats.org/officeDocument/2006/relationships/hyperlink" Target="https://www.periodistadigital.com/politica/gobierno/2018/11/23/pedro-sanchez-presume-viaje-dictadura-cubana-twitter-masacra-vividor.shtml" TargetMode="External"/><Relationship Id="rId398" Type="http://schemas.openxmlformats.org/officeDocument/2006/relationships/hyperlink" Target="https://www.cosasdeunabailarina.es/la-visita-de-sanchez-a-cuba/" TargetMode="External"/><Relationship Id="rId2079" Type="http://schemas.openxmlformats.org/officeDocument/2006/relationships/hyperlink" Target="https://pbs.twimg.com/media/Dso3W45U4AAkmrS.jpg" TargetMode="External"/><Relationship Id="rId3032" Type="http://schemas.openxmlformats.org/officeDocument/2006/relationships/hyperlink" Target="http://youtu.be/OBEluUwFIu0?a" TargetMode="External"/><Relationship Id="rId3477" Type="http://schemas.openxmlformats.org/officeDocument/2006/relationships/hyperlink" Target="https://okdiario.com/deportes/futbol/2018/11/20/portugal-deja-mentiroso-pedro-sanchez-mundial-inventado-3372638" TargetMode="External"/><Relationship Id="rId160" Type="http://schemas.openxmlformats.org/officeDocument/2006/relationships/hyperlink" Target="http://www.radiohc.cu/noticias/nacionales/177257-culmina-este-viernes-visita-oficial-de-pedro-sanchez-a-cuba" TargetMode="External"/><Relationship Id="rId2286" Type="http://schemas.openxmlformats.org/officeDocument/2006/relationships/hyperlink" Target="https://twitter.com/matthewbennett/status/1065629058745229313" TargetMode="External"/><Relationship Id="rId2493" Type="http://schemas.openxmlformats.org/officeDocument/2006/relationships/hyperlink" Target="https://lapaseata.net/2018/11/22/socios-pedro-sanchez-degradan-democracia/" TargetMode="External"/><Relationship Id="rId3337" Type="http://schemas.openxmlformats.org/officeDocument/2006/relationships/hyperlink" Target="http://www.cubamaintenant.wordpress.com/" TargetMode="External"/><Relationship Id="rId3544" Type="http://schemas.openxmlformats.org/officeDocument/2006/relationships/hyperlink" Target="http://www.rtve.es/noticias/mas-24/" TargetMode="External"/><Relationship Id="rId258" Type="http://schemas.openxmlformats.org/officeDocument/2006/relationships/hyperlink" Target="https://pbs.twimg.com/media/DssPQubX4AEhkNu.jpg" TargetMode="External"/><Relationship Id="rId465" Type="http://schemas.openxmlformats.org/officeDocument/2006/relationships/hyperlink" Target="https://pbs.twimg.com/media/Dsr8a_1W0AI0oUk.jpg" TargetMode="External"/><Relationship Id="rId672" Type="http://schemas.openxmlformats.org/officeDocument/2006/relationships/hyperlink" Target="https://youtu.be/OBEluUwFIu0" TargetMode="External"/><Relationship Id="rId1095" Type="http://schemas.openxmlformats.org/officeDocument/2006/relationships/hyperlink" Target="https://twitter.com/senabrevalencia/status/1065873569224241153" TargetMode="External"/><Relationship Id="rId2146" Type="http://schemas.openxmlformats.org/officeDocument/2006/relationships/hyperlink" Target="https://nuevarevolucion.es/pedro-sanchez-el-paso-atras-de-la-izquierda/" TargetMode="External"/><Relationship Id="rId2353" Type="http://schemas.openxmlformats.org/officeDocument/2006/relationships/hyperlink" Target="http://www.votoenblanco.com/" TargetMode="External"/><Relationship Id="rId2560" Type="http://schemas.openxmlformats.org/officeDocument/2006/relationships/hyperlink" Target="https://okdiario.com/espana/2018/11/21/sanchez-mando-coche-oficial-vacio-valladolid-hacer-8-kms-del-aeropuerto-ciudad-3377374" TargetMode="External"/><Relationship Id="rId2798" Type="http://schemas.openxmlformats.org/officeDocument/2006/relationships/hyperlink" Target="http://bit.ly/2DQT58N" TargetMode="External"/><Relationship Id="rId3404" Type="http://schemas.openxmlformats.org/officeDocument/2006/relationships/hyperlink" Target="https://www.eldiario.es/_31f6512a" TargetMode="External"/><Relationship Id="rId118" Type="http://schemas.openxmlformats.org/officeDocument/2006/relationships/hyperlink" Target="https://elultimocondoramericano.wordpress.com/" TargetMode="External"/><Relationship Id="rId325" Type="http://schemas.openxmlformats.org/officeDocument/2006/relationships/hyperlink" Target="https://www.alertanacional.es/pablo-iglesias-dice-que-no-apoyara-a-pedro-sanchez-si-defiende-la-espanolidad-de-gibraltar-ante-el-reino-unido/" TargetMode="External"/><Relationship Id="rId532" Type="http://schemas.openxmlformats.org/officeDocument/2006/relationships/hyperlink" Target="https://www.youtube.com/c/ElPeriodistaCamorrista" TargetMode="External"/><Relationship Id="rId977" Type="http://schemas.openxmlformats.org/officeDocument/2006/relationships/hyperlink" Target="http://cjueloberoi.blogspot.com.es/" TargetMode="External"/><Relationship Id="rId1162" Type="http://schemas.openxmlformats.org/officeDocument/2006/relationships/hyperlink" Target="https://www.meneame.net/story/polonia-pedro-sanchez-hace-contrario-dice" TargetMode="External"/><Relationship Id="rId2006" Type="http://schemas.openxmlformats.org/officeDocument/2006/relationships/hyperlink" Target="http://about.me/jpbellido" TargetMode="External"/><Relationship Id="rId2213" Type="http://schemas.openxmlformats.org/officeDocument/2006/relationships/hyperlink" Target="http://bit.ly/2OYPLJV" TargetMode="External"/><Relationship Id="rId2420" Type="http://schemas.openxmlformats.org/officeDocument/2006/relationships/hyperlink" Target="https://pbs.twimg.com/media/DsoT_n6UUAAIOhl.jpg" TargetMode="External"/><Relationship Id="rId2658" Type="http://schemas.openxmlformats.org/officeDocument/2006/relationships/hyperlink" Target="https://abenitezlopez.wordpress.com/" TargetMode="External"/><Relationship Id="rId2865" Type="http://schemas.openxmlformats.org/officeDocument/2006/relationships/hyperlink" Target="http://www.elindependiente.com/" TargetMode="External"/><Relationship Id="rId837" Type="http://schemas.openxmlformats.org/officeDocument/2006/relationships/hyperlink" Target="https://mundo.sputniknews.com/politica/201811231083625746-visita-pedro-sanchez-la-habana/" TargetMode="External"/><Relationship Id="rId1022" Type="http://schemas.openxmlformats.org/officeDocument/2006/relationships/hyperlink" Target="http://urbano24horas.com/" TargetMode="External"/><Relationship Id="rId1467" Type="http://schemas.openxmlformats.org/officeDocument/2006/relationships/hyperlink" Target="https://www.elperiodico.com/es/internacional/20181121/espana-reino-unido-preacuerdo-gibraltar-pedro-sanchez-7160290?utm_source=twitter&amp;utm_medium=social" TargetMode="External"/><Relationship Id="rId1674" Type="http://schemas.openxmlformats.org/officeDocument/2006/relationships/hyperlink" Target="http://www.oncubamagazine.com/" TargetMode="External"/><Relationship Id="rId1881" Type="http://schemas.openxmlformats.org/officeDocument/2006/relationships/hyperlink" Target="https://pbs.twimg.com/media/DspHmTWU8AAj9JU.jpg" TargetMode="External"/><Relationship Id="rId2518" Type="http://schemas.openxmlformats.org/officeDocument/2006/relationships/hyperlink" Target="https://www.esdiario.com/secciones/1/89/autor/autores.html" TargetMode="External"/><Relationship Id="rId2725"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932" Type="http://schemas.openxmlformats.org/officeDocument/2006/relationships/hyperlink" Target="https://www.laopiniondemurcia.es/" TargetMode="External"/><Relationship Id="rId904" Type="http://schemas.openxmlformats.org/officeDocument/2006/relationships/hyperlink" Target="http://www.sevilla24horas.com/" TargetMode="External"/><Relationship Id="rId1327" Type="http://schemas.openxmlformats.org/officeDocument/2006/relationships/hyperlink" Target="https://ift.tt/2zoryb0" TargetMode="External"/><Relationship Id="rId1534" Type="http://schemas.openxmlformats.org/officeDocument/2006/relationships/hyperlink" Target="http://www.radiobaracoa.icrt.cu/" TargetMode="External"/><Relationship Id="rId1741" Type="http://schemas.openxmlformats.org/officeDocument/2006/relationships/hyperlink" Target="https://twitter.com/peruenlanoticia" TargetMode="External"/><Relationship Id="rId1979" Type="http://schemas.openxmlformats.org/officeDocument/2006/relationships/hyperlink" Target="https://noticierouniversal.com/actualidad/pedro-sanchez-llega-a-la-habana-para-reunirse-con-el-dictador-diaz-canel/" TargetMode="External"/><Relationship Id="rId3194" Type="http://schemas.openxmlformats.org/officeDocument/2006/relationships/hyperlink" Target="https://okdiario.com/espana/2018/11/21/sanchez-mando-coche-oficial-vacio-valladolid-hacer-8-kms-del-aeropuerto-ciudad-3377374" TargetMode="External"/><Relationship Id="rId33" Type="http://schemas.openxmlformats.org/officeDocument/2006/relationships/hyperlink" Target="https://es.rt.com/6cus" TargetMode="External"/><Relationship Id="rId1601" Type="http://schemas.openxmlformats.org/officeDocument/2006/relationships/hyperlink" Target="https://mundo.sputniknews.com/americalatina/201811231083624871-visita-pedro-sanchez-cuba/" TargetMode="External"/><Relationship Id="rId1839" Type="http://schemas.openxmlformats.org/officeDocument/2006/relationships/hyperlink" Target="http://dlvr.it/QrtrXF" TargetMode="External"/><Relationship Id="rId3054" Type="http://schemas.openxmlformats.org/officeDocument/2006/relationships/hyperlink" Target="https://pbs.twimg.com/media/DsnW_RBWoAEvM_7.jpg" TargetMode="External"/><Relationship Id="rId3499" Type="http://schemas.openxmlformats.org/officeDocument/2006/relationships/hyperlink" Target="http://www.hechosdehoy.com/" TargetMode="External"/><Relationship Id="rId182" Type="http://schemas.openxmlformats.org/officeDocument/2006/relationships/hyperlink" Target="https://elmunicipio.es/2018/11/destrozan-la-politica-economica-de-pedro-sanchez/" TargetMode="External"/><Relationship Id="rId1906" Type="http://schemas.openxmlformats.org/officeDocument/2006/relationships/hyperlink" Target="https://okdiario.com/espana/2018/11/22/pedro-sanchez-asegura-que-hablado-theresa-may-si-no-hay-cambios-vetaremos-brexit-3382282?utm_term=Autofeed&amp;utm_campaign=ok&amp;utm_medium=Social&amp;utm_source=Twitter" TargetMode="External"/><Relationship Id="rId3261" Type="http://schemas.openxmlformats.org/officeDocument/2006/relationships/hyperlink" Target="https://www.instagram.com/miguel_barrachina_ros/?hl=es" TargetMode="External"/><Relationship Id="rId3359" Type="http://schemas.openxmlformats.org/officeDocument/2006/relationships/hyperlink" Target="https://pbs.twimg.com/media/Dsm4GBtVAAAtPxh.jpg" TargetMode="External"/><Relationship Id="rId3566" Type="http://schemas.openxmlformats.org/officeDocument/2006/relationships/hyperlink" Target="http://pic.twitter.com/V57i0hGdc9" TargetMode="External"/><Relationship Id="rId487" Type="http://schemas.openxmlformats.org/officeDocument/2006/relationships/hyperlink" Target="https://www.elmundo.es/espana/2018/11/23/5bf7e88a268e3e2e658b459a.html" TargetMode="External"/><Relationship Id="rId694" Type="http://schemas.openxmlformats.org/officeDocument/2006/relationships/hyperlink" Target="http://www.socialdemocratas.es/" TargetMode="External"/><Relationship Id="rId2070" Type="http://schemas.openxmlformats.org/officeDocument/2006/relationships/hyperlink" Target="https://pbs.twimg.com/media/Dso4RE9VYAATNEM.jpg" TargetMode="External"/><Relationship Id="rId2168" Type="http://schemas.openxmlformats.org/officeDocument/2006/relationships/hyperlink" Target="http://ver.20m.es/tzztm1" TargetMode="External"/><Relationship Id="rId2375" Type="http://schemas.openxmlformats.org/officeDocument/2006/relationships/hyperlink" Target="https://www.periodistadigital.com/periodismo/prensa/2018/11/22/alfonso-ussia-borra-sonrisa-egolatra-sanchez-manda-volando-psiquiatrico.shtml" TargetMode="External"/><Relationship Id="rId3121" Type="http://schemas.openxmlformats.org/officeDocument/2006/relationships/hyperlink" Target="http://www.infojaen.com/reyes-subraya-el-prestigio-que-la-primera-estrella-michelin-obtenida-por-pedro-sanchez-otorga-a-la-gastronomia-de-jaen/" TargetMode="External"/><Relationship Id="rId3219" Type="http://schemas.openxmlformats.org/officeDocument/2006/relationships/hyperlink" Target="http://www.cadenagramonte.cu/" TargetMode="External"/><Relationship Id="rId347" Type="http://schemas.openxmlformats.org/officeDocument/2006/relationships/hyperlink" Target="http://www.trabajadores.cu/20181123/presidente-del-gobierno-espanol-llega-a-cuba-en-visita-oficial/" TargetMode="External"/><Relationship Id="rId999" Type="http://schemas.openxmlformats.org/officeDocument/2006/relationships/hyperlink" Target="http://www.lasexta.com/" TargetMode="External"/><Relationship Id="rId1184" Type="http://schemas.openxmlformats.org/officeDocument/2006/relationships/hyperlink" Target="https://pbs.twimg.com/media/Dsq0auzWsAI_MPz.jpg" TargetMode="External"/><Relationship Id="rId2028" Type="http://schemas.openxmlformats.org/officeDocument/2006/relationships/hyperlink" Target="http://ow.ly/QKKb101mJXI" TargetMode="External"/><Relationship Id="rId2582" Type="http://schemas.openxmlformats.org/officeDocument/2006/relationships/hyperlink" Target="http://www.lademajagua.cu/" TargetMode="External"/><Relationship Id="rId2887" Type="http://schemas.openxmlformats.org/officeDocument/2006/relationships/hyperlink" Target="http://www.cuartopoder.es/" TargetMode="External"/><Relationship Id="rId3426" Type="http://schemas.openxmlformats.org/officeDocument/2006/relationships/hyperlink" Target="https://frml.tv/86205" TargetMode="External"/><Relationship Id="rId554" Type="http://schemas.openxmlformats.org/officeDocument/2006/relationships/hyperlink" Target="http://www.es-emoticon.com/universomestizo/" TargetMode="External"/><Relationship Id="rId761" Type="http://schemas.openxmlformats.org/officeDocument/2006/relationships/hyperlink" Target="https://www.abc.es/espana/abci-jose-daniel-ferrer-posible-liberen-presos-para-decir-visita-pedro-sanchez-cuba-sido-exito-201811230406_noticia.html" TargetMode="External"/><Relationship Id="rId859" Type="http://schemas.openxmlformats.org/officeDocument/2006/relationships/hyperlink" Target="http://reddeperiodistas.com/" TargetMode="External"/><Relationship Id="rId1391" Type="http://schemas.openxmlformats.org/officeDocument/2006/relationships/hyperlink" Target="http://www.elportaluco.com/" TargetMode="External"/><Relationship Id="rId1489" Type="http://schemas.openxmlformats.org/officeDocument/2006/relationships/hyperlink" Target="https://ift.tt/2FyRw0H" TargetMode="External"/><Relationship Id="rId1696" Type="http://schemas.openxmlformats.org/officeDocument/2006/relationships/hyperlink" Target="http://www.granma.cu/" TargetMode="External"/><Relationship Id="rId2235" Type="http://schemas.openxmlformats.org/officeDocument/2006/relationships/hyperlink" Target="http://bit.ly/2QZhagw" TargetMode="External"/><Relationship Id="rId2442" Type="http://schemas.openxmlformats.org/officeDocument/2006/relationships/hyperlink" Target="http://www.slaymultimedios.com/" TargetMode="External"/><Relationship Id="rId207" Type="http://schemas.openxmlformats.org/officeDocument/2006/relationships/hyperlink" Target="http://bit.ly/2DUsgk3" TargetMode="External"/><Relationship Id="rId414" Type="http://schemas.openxmlformats.org/officeDocument/2006/relationships/hyperlink" Target="https://www.larazon.es/internacional/may-advierte-a-sanchez-protegere-la-soberania-britanica-de-gibraltar-JA20644940" TargetMode="External"/><Relationship Id="rId621" Type="http://schemas.openxmlformats.org/officeDocument/2006/relationships/hyperlink" Target="http://epmundo.com/2018/theresa-may-le-saca-las-garras-al-gobierno-de-pedro-sanchez/" TargetMode="External"/><Relationship Id="rId1044" Type="http://schemas.openxmlformats.org/officeDocument/2006/relationships/hyperlink" Target="https://pbs.twimg.com/media/Dsp5NP7U8AARmKH.jpg" TargetMode="External"/><Relationship Id="rId1251" Type="http://schemas.openxmlformats.org/officeDocument/2006/relationships/hyperlink" Target="http://ow.ly/Xku5101mKNH" TargetMode="External"/><Relationship Id="rId1349" Type="http://schemas.openxmlformats.org/officeDocument/2006/relationships/hyperlink" Target="https://goo.gl/x3jnE6" TargetMode="External"/><Relationship Id="rId2302" Type="http://schemas.openxmlformats.org/officeDocument/2006/relationships/hyperlink" Target="https://www.facebook.com/100000636045769/posts/2198481133516400/" TargetMode="External"/><Relationship Id="rId2747" Type="http://schemas.openxmlformats.org/officeDocument/2006/relationships/hyperlink" Target="http://www.periodistadigital.com/" TargetMode="External"/><Relationship Id="rId2954" Type="http://schemas.openxmlformats.org/officeDocument/2006/relationships/hyperlink" Target="https://twitter.com/AlejaSelles_/status/1065525788806656000" TargetMode="External"/><Relationship Id="rId719" Type="http://schemas.openxmlformats.org/officeDocument/2006/relationships/hyperlink" Target="https://www.libertaddigital.com/espana/2018-11-21/pedro-sanchez-pide-a-casado-y-rufian-que-pidan-discupas-por-el-escupitajo-de-erc-a-borell-1276628638/" TargetMode="External"/><Relationship Id="rId926" Type="http://schemas.openxmlformats.org/officeDocument/2006/relationships/hyperlink" Target="https://www.periodistadigital.com/politica/gobierno/2018/11/23/el-ridiculo-del-inepto-pedro-sanchez-ante-theresa-may-y-su-venganza-por-gibraltar.shtml" TargetMode="External"/><Relationship Id="rId1111" Type="http://schemas.openxmlformats.org/officeDocument/2006/relationships/hyperlink" Target="https://www.periodistadigital.com/periodismo/prensa/2018/11/23/escupitajo-elpais-oposicion-cubana-elogiando-pedro-sanchez-no-reuna-diaz-canel-brexit-gibraltar-borrell.shtml" TargetMode="External"/><Relationship Id="rId1556" Type="http://schemas.openxmlformats.org/officeDocument/2006/relationships/hyperlink" Target="https://ift.tt/2PNVPu4" TargetMode="External"/><Relationship Id="rId1763" Type="http://schemas.openxmlformats.org/officeDocument/2006/relationships/hyperlink" Target="https://pbs.twimg.com/media/DspTcDHV4AAheuu.jpg" TargetMode="External"/><Relationship Id="rId1970" Type="http://schemas.openxmlformats.org/officeDocument/2006/relationships/hyperlink" Target="https://pbs.twimg.com/media/DspAQacUUAEdtO-.jpg" TargetMode="External"/><Relationship Id="rId2607" Type="http://schemas.openxmlformats.org/officeDocument/2006/relationships/hyperlink" Target="https://pbs.twimg.com/media/Dsn-PjoXoAEaN10.jpg" TargetMode="External"/><Relationship Id="rId2814" Type="http://schemas.openxmlformats.org/officeDocument/2006/relationships/hyperlink" Target="https://pbs.twimg.com/media/DsnrnEmU4AAkMHN.jpg" TargetMode="External"/><Relationship Id="rId55" Type="http://schemas.openxmlformats.org/officeDocument/2006/relationships/hyperlink" Target="https://es.rt.com/6cui" TargetMode="External"/><Relationship Id="rId1209" Type="http://schemas.openxmlformats.org/officeDocument/2006/relationships/hyperlink" Target="https://okdiario.com/autor/liberal" TargetMode="External"/><Relationship Id="rId1416" Type="http://schemas.openxmlformats.org/officeDocument/2006/relationships/hyperlink" Target="http://www.cubahora.cu/politica/pedro-sanchez-en-cuba-la-politica-va-junto-a-la-realidad" TargetMode="External"/><Relationship Id="rId1623" Type="http://schemas.openxmlformats.org/officeDocument/2006/relationships/hyperlink" Target="https://mundo.sputniknews.com/" TargetMode="External"/><Relationship Id="rId1830" Type="http://schemas.openxmlformats.org/officeDocument/2006/relationships/hyperlink" Target="http://listas.20minutos.es/otros/" TargetMode="External"/><Relationship Id="rId3076" Type="http://schemas.openxmlformats.org/officeDocument/2006/relationships/hyperlink" Target="https://pbs.twimg.com/media/DsnUXrKU4AAYT1J.jpg" TargetMode="External"/><Relationship Id="rId3283" Type="http://schemas.openxmlformats.org/officeDocument/2006/relationships/hyperlink" Target="http://www.madridesnoticia.es/" TargetMode="External"/><Relationship Id="rId3490" Type="http://schemas.openxmlformats.org/officeDocument/2006/relationships/hyperlink" Target="http://www.periodistadigital.tv/este-es-el-momento-penoso-que-vivio-pedro-sanchez-al-saludar-al-primer-ministro-portugues_edf51e3eb.html" TargetMode="External"/><Relationship Id="rId1928" Type="http://schemas.openxmlformats.org/officeDocument/2006/relationships/hyperlink" Target="http://www.noticierodigital.com/" TargetMode="External"/><Relationship Id="rId2092" Type="http://schemas.openxmlformats.org/officeDocument/2006/relationships/hyperlink" Target="https://bit.ly/2r21zBo" TargetMode="External"/><Relationship Id="rId3143" Type="http://schemas.openxmlformats.org/officeDocument/2006/relationships/hyperlink" Target="http://solowrestling.com/" TargetMode="External"/><Relationship Id="rId3350" Type="http://schemas.openxmlformats.org/officeDocument/2006/relationships/hyperlink" Target="http://www.esglobal.org/" TargetMode="External"/><Relationship Id="rId271" Type="http://schemas.openxmlformats.org/officeDocument/2006/relationships/hyperlink" Target="http://www.dondiario.com/" TargetMode="External"/><Relationship Id="rId2397" Type="http://schemas.openxmlformats.org/officeDocument/2006/relationships/hyperlink" Target="https://twitter.com/CristinaSegui_/status/1065657909940551681" TargetMode="External"/><Relationship Id="rId3003" Type="http://schemas.openxmlformats.org/officeDocument/2006/relationships/hyperlink" Target="http://vozdesdeeldestierro.juancarlosherreraacosta.over-blog.es/" TargetMode="External"/><Relationship Id="rId3448" Type="http://schemas.openxmlformats.org/officeDocument/2006/relationships/hyperlink" Target="https://www.lanacion.com.py/mundo/2018/11/22/jefe-del-gobierno-espanol-a-cuba-un-viaje-inedito-en-32-anos/" TargetMode="External"/><Relationship Id="rId131" Type="http://schemas.openxmlformats.org/officeDocument/2006/relationships/hyperlink" Target="http://misiones.minrex.gob.cu/es/onu" TargetMode="External"/><Relationship Id="rId369" Type="http://schemas.openxmlformats.org/officeDocument/2006/relationships/hyperlink" Target="http://estudioslatinoseiberoamericanos.wordpress.com/" TargetMode="External"/><Relationship Id="rId576" Type="http://schemas.openxmlformats.org/officeDocument/2006/relationships/hyperlink" Target="http://www.sumate.org/" TargetMode="External"/><Relationship Id="rId783" Type="http://schemas.openxmlformats.org/officeDocument/2006/relationships/hyperlink" Target="https://pbs.twimg.com/media/DsrcjLGU8AALxEp.jpg" TargetMode="External"/><Relationship Id="rId990" Type="http://schemas.openxmlformats.org/officeDocument/2006/relationships/hyperlink" Target="http://www.eleconomista.es/" TargetMode="External"/><Relationship Id="rId2257" Type="http://schemas.openxmlformats.org/officeDocument/2006/relationships/hyperlink" Target="http://bit.ly/2FAAf7r" TargetMode="External"/><Relationship Id="rId2464" Type="http://schemas.openxmlformats.org/officeDocument/2006/relationships/hyperlink" Target="http://www.diariovasco.com/" TargetMode="External"/><Relationship Id="rId2671" Type="http://schemas.openxmlformats.org/officeDocument/2006/relationships/hyperlink" Target="https://youtu.be/zTXmqeXQ3Bo" TargetMode="External"/><Relationship Id="rId3210" Type="http://schemas.openxmlformats.org/officeDocument/2006/relationships/hyperlink" Target="https://ift.tt/2DDghGw" TargetMode="External"/><Relationship Id="rId3308" Type="http://schemas.openxmlformats.org/officeDocument/2006/relationships/hyperlink" Target="http://www.lasexta.com/programas/sexta-noche/" TargetMode="External"/><Relationship Id="rId3515" Type="http://schemas.openxmlformats.org/officeDocument/2006/relationships/hyperlink" Target="https://www.cosasdeunabailarina.es/zafarrancho-para-ivan/" TargetMode="External"/><Relationship Id="rId229" Type="http://schemas.openxmlformats.org/officeDocument/2006/relationships/hyperlink" Target="https://es.rt.com/6crp" TargetMode="External"/><Relationship Id="rId436" Type="http://schemas.openxmlformats.org/officeDocument/2006/relationships/hyperlink" Target="http://castillalamancha.ciudadanos-cs.org/" TargetMode="External"/><Relationship Id="rId643" Type="http://schemas.openxmlformats.org/officeDocument/2006/relationships/hyperlink" Target="https://okdiario.com/espana/2018/11/23/cuando-sanchez-reprochaba-rajoy-que-bruselas-habia-tumbado-presupuestos-3380128" TargetMode="External"/><Relationship Id="rId1066" Type="http://schemas.openxmlformats.org/officeDocument/2006/relationships/hyperlink" Target="http://salmonetesyanonosquedan.blogspot.com/" TargetMode="External"/><Relationship Id="rId1273" Type="http://schemas.openxmlformats.org/officeDocument/2006/relationships/hyperlink" Target="https://www.20minutos.es/" TargetMode="External"/><Relationship Id="rId1480" Type="http://schemas.openxmlformats.org/officeDocument/2006/relationships/hyperlink" Target="https://wp.me/p26M0z-BSk--" TargetMode="External"/><Relationship Id="rId2117" Type="http://schemas.openxmlformats.org/officeDocument/2006/relationships/hyperlink" Target="https://pbs.twimg.com/media/DsozlgFWwAEXTHJ.jpg" TargetMode="External"/><Relationship Id="rId2324" Type="http://schemas.openxmlformats.org/officeDocument/2006/relationships/hyperlink" Target="http://bit.ly/2r1UxN0" TargetMode="External"/><Relationship Id="rId2769" Type="http://schemas.openxmlformats.org/officeDocument/2006/relationships/hyperlink" Target="http://bit.ly/2AdPltz" TargetMode="External"/><Relationship Id="rId2976" Type="http://schemas.openxmlformats.org/officeDocument/2006/relationships/hyperlink" Target="https://pbs.twimg.com/media/Dsnd3snXQAI7ynC.jpg" TargetMode="External"/><Relationship Id="rId850" Type="http://schemas.openxmlformats.org/officeDocument/2006/relationships/hyperlink" Target="http://www.efe.com/" TargetMode="External"/><Relationship Id="rId948" Type="http://schemas.openxmlformats.org/officeDocument/2006/relationships/hyperlink" Target="https://ift.tt/2OY4OmY" TargetMode="External"/><Relationship Id="rId1133" Type="http://schemas.openxmlformats.org/officeDocument/2006/relationships/hyperlink" Target="http://bit.ly/EP_Venezuela" TargetMode="External"/><Relationship Id="rId1578" Type="http://schemas.openxmlformats.org/officeDocument/2006/relationships/hyperlink" Target="http://www.cubatv.icrt.cu/" TargetMode="External"/><Relationship Id="rId1785" Type="http://schemas.openxmlformats.org/officeDocument/2006/relationships/hyperlink" Target="https://elpais.com/politica/2018/11/21/actualidad/1542810485_448113.html?id_externo_rsoc=TW_CC" TargetMode="External"/><Relationship Id="rId1992" Type="http://schemas.openxmlformats.org/officeDocument/2006/relationships/hyperlink" Target="https://pbs.twimg.com/media/Dso9hx2UcAE_MOO.jpg" TargetMode="External"/><Relationship Id="rId2531" Type="http://schemas.openxmlformats.org/officeDocument/2006/relationships/hyperlink" Target="https://www.periodistadigital.com/periodismo/tv/2018/11/22/ferreras-jefe-de-prensa-pedro-sanchez-rafa-hernando-gobierno-pp-borrell.shtml" TargetMode="External"/><Relationship Id="rId2629" Type="http://schemas.openxmlformats.org/officeDocument/2006/relationships/hyperlink" Target="https://pbs.twimg.com/media/Dsn6016WkAE9X07.jpg" TargetMode="External"/><Relationship Id="rId2836" Type="http://schemas.openxmlformats.org/officeDocument/2006/relationships/hyperlink" Target="http://www.hoyhonduras.news/" TargetMode="External"/><Relationship Id="rId77" Type="http://schemas.openxmlformats.org/officeDocument/2006/relationships/hyperlink" Target="http://ow.ly/AaEu30mJ5Gr" TargetMode="External"/><Relationship Id="rId503" Type="http://schemas.openxmlformats.org/officeDocument/2006/relationships/hyperlink" Target="https://pbs.twimg.com/media/Dsr5zJ5WwAAWpSB.jpg" TargetMode="External"/><Relationship Id="rId710" Type="http://schemas.openxmlformats.org/officeDocument/2006/relationships/hyperlink" Target="https://www.abc.es/espana/abci-opine-sobre-posibilidades-pedro-sanchez-negociacion-sobre-gibraltar-201811231120_noticia.html" TargetMode="External"/><Relationship Id="rId808" Type="http://schemas.openxmlformats.org/officeDocument/2006/relationships/hyperlink" Target="https://www.elconfidencial.com/espana/2018-11-23/pedro-sanchez-adelanto-electoral-superdomingo-barones_1663322/" TargetMode="External"/><Relationship Id="rId1340" Type="http://schemas.openxmlformats.org/officeDocument/2006/relationships/hyperlink" Target="http://fr.euronews.com/" TargetMode="External"/><Relationship Id="rId1438" Type="http://schemas.openxmlformats.org/officeDocument/2006/relationships/hyperlink" Target="http://www.estoescuba.eu/" TargetMode="External"/><Relationship Id="rId1645" Type="http://schemas.openxmlformats.org/officeDocument/2006/relationships/hyperlink" Target="https://pbs.twimg.com/media/Dspibe8WsAYuorf.jpg" TargetMode="External"/><Relationship Id="rId3098" Type="http://schemas.openxmlformats.org/officeDocument/2006/relationships/hyperlink" Target="https://blogjkeats.wordpress.com/" TargetMode="External"/><Relationship Id="rId1200" Type="http://schemas.openxmlformats.org/officeDocument/2006/relationships/hyperlink" Target="https://pbs.twimg.com/media/DsqxEf2WwAAwjkS.jpg" TargetMode="External"/><Relationship Id="rId1852" Type="http://schemas.openxmlformats.org/officeDocument/2006/relationships/hyperlink" Target="https://goo.gl/EjV4ph" TargetMode="External"/><Relationship Id="rId2903" Type="http://schemas.openxmlformats.org/officeDocument/2006/relationships/hyperlink" Target="https://pbs.twimg.com/media/DsnlNI0XgAAOgxo.jpg" TargetMode="External"/><Relationship Id="rId1505" Type="http://schemas.openxmlformats.org/officeDocument/2006/relationships/hyperlink" Target="http://www.noticierodigital.com/" TargetMode="External"/><Relationship Id="rId1712" Type="http://schemas.openxmlformats.org/officeDocument/2006/relationships/hyperlink" Target="https://larepublica.pe/mundo/1362257-youtube-tension-reino-unido-espana-theresa-may-le-advierte-pedro-sanchez-defenderan-soberania-gibraltar-video" TargetMode="External"/><Relationship Id="rId3165" Type="http://schemas.openxmlformats.org/officeDocument/2006/relationships/hyperlink" Target="https://pbs.twimg.com/media/DsnNDvdWoAYtNEM.jpg" TargetMode="External"/><Relationship Id="rId3372" Type="http://schemas.openxmlformats.org/officeDocument/2006/relationships/hyperlink" Target="https://buff.ly/2Kr1Ma6" TargetMode="External"/><Relationship Id="rId293" Type="http://schemas.openxmlformats.org/officeDocument/2006/relationships/hyperlink" Target="http://www.periodistadigital.com/politica/gobierno/2018/11/23/pedro-sanchez-presume-viaje-dictadura-cubana-twitter-masacra-vividor.shtml" TargetMode="External"/><Relationship Id="rId2181" Type="http://schemas.openxmlformats.org/officeDocument/2006/relationships/hyperlink" Target="http://www.inigodejuana.es/" TargetMode="External"/><Relationship Id="rId3025" Type="http://schemas.openxmlformats.org/officeDocument/2006/relationships/hyperlink" Target="http://tinyurl.com/ycb3zthy" TargetMode="External"/><Relationship Id="rId3232" Type="http://schemas.openxmlformats.org/officeDocument/2006/relationships/hyperlink" Target="https://elpais.com/politica/2018/11/21/actualidad/1542810485_448113.html?id_externo_rsoc=TW_CC" TargetMode="External"/><Relationship Id="rId153" Type="http://schemas.openxmlformats.org/officeDocument/2006/relationships/hyperlink" Target="https://m.eldiario.es/politica/Gobierno-Sanchez-Consejo-Europeo-Gibraltar_0_838866473.amp.html" TargetMode="External"/><Relationship Id="rId360" Type="http://schemas.openxmlformats.org/officeDocument/2006/relationships/hyperlink" Target="https://www.revistavanityfair.es/poder/articulos/pedro-sanchez-aviones-oficiales-cuba-aznar-azores-rey-presidente-guapo/34817" TargetMode="External"/><Relationship Id="rId598" Type="http://schemas.openxmlformats.org/officeDocument/2006/relationships/hyperlink" Target="https://cubanosporelmundo.com/" TargetMode="External"/><Relationship Id="rId2041" Type="http://schemas.openxmlformats.org/officeDocument/2006/relationships/hyperlink" Target="http://sentimentsenminiatura.com/" TargetMode="External"/><Relationship Id="rId2279" Type="http://schemas.openxmlformats.org/officeDocument/2006/relationships/hyperlink" Target="http://tinyurl.com/yagc3lys" TargetMode="External"/><Relationship Id="rId2486" Type="http://schemas.openxmlformats.org/officeDocument/2006/relationships/hyperlink" Target="http://www.revistavanityfair.es/" TargetMode="External"/><Relationship Id="rId2693" Type="http://schemas.openxmlformats.org/officeDocument/2006/relationships/hyperlink" Target="https://bit.ly/2FwTY82" TargetMode="External"/><Relationship Id="rId3537" Type="http://schemas.openxmlformats.org/officeDocument/2006/relationships/hyperlink" Target="https://twitter.com/WillyTolerdoo/status/1065197525832015873" TargetMode="External"/><Relationship Id="rId220" Type="http://schemas.openxmlformats.org/officeDocument/2006/relationships/hyperlink" Target="http://bit.ly/2BtbHcw" TargetMode="External"/><Relationship Id="rId458" Type="http://schemas.openxmlformats.org/officeDocument/2006/relationships/hyperlink" Target="https://www.libremercado.com/2018-11-22/la-comision-el-fmi-y-la-ocde-destrozan-la-politica-economica-de-sanchez-1276628717/" TargetMode="External"/><Relationship Id="rId665" Type="http://schemas.openxmlformats.org/officeDocument/2006/relationships/hyperlink" Target="https://twitter.com/elenay29/status/1065910541900759040" TargetMode="External"/><Relationship Id="rId872" Type="http://schemas.openxmlformats.org/officeDocument/2006/relationships/hyperlink" Target="https://www.elconfidencial.com/espana/2018-11-23/pedro-sanchez-adelanto-electoral-superdomingo-barones_1663322/" TargetMode="External"/><Relationship Id="rId1088" Type="http://schemas.openxmlformats.org/officeDocument/2006/relationships/hyperlink" Target="https://pbs.twimg.com/media/DsrAW6JWoAAR2kQ.jpg" TargetMode="External"/><Relationship Id="rId1295" Type="http://schemas.openxmlformats.org/officeDocument/2006/relationships/hyperlink" Target="https://twitter.com/marubimo/status/1065649428726460416" TargetMode="External"/><Relationship Id="rId2139" Type="http://schemas.openxmlformats.org/officeDocument/2006/relationships/hyperlink" Target="https://www.laopinioncoruna.es/" TargetMode="External"/><Relationship Id="rId2346" Type="http://schemas.openxmlformats.org/officeDocument/2006/relationships/hyperlink" Target="http://youtu.be/EyAx7UHF6CU?a" TargetMode="External"/><Relationship Id="rId2553" Type="http://schemas.openxmlformats.org/officeDocument/2006/relationships/hyperlink" Target="https://www.futbol-addict.com/es/article/deportivo-la-coruna/pedro-sanchez-y-dubarbier-bajas-ante-osasuna/5bf6f049e609406441638ba9?utm_campaign=post-auto&amp;utm_medium=twitter&amp;utm_source=deportivo-addict" TargetMode="External"/><Relationship Id="rId2760" Type="http://schemas.openxmlformats.org/officeDocument/2006/relationships/hyperlink" Target="https://as.com/tag/cd_lugo/a/" TargetMode="External"/><Relationship Id="rId2998" Type="http://schemas.openxmlformats.org/officeDocument/2006/relationships/hyperlink" Target="http://gacetinmadrid.com/2018/11/22/angel-garrido-reclama-a-pedro-sanchez-eliminar-el-tope-en-el-fondo-de-competitividad/" TargetMode="External"/><Relationship Id="rId318" Type="http://schemas.openxmlformats.org/officeDocument/2006/relationships/hyperlink" Target="https://youtu.be/C4hpa5dCKAo" TargetMode="External"/><Relationship Id="rId525" Type="http://schemas.openxmlformats.org/officeDocument/2006/relationships/hyperlink" Target="https://pbs.twimg.com/media/Dsr5KH6WkAAHC45.jpg" TargetMode="External"/><Relationship Id="rId732" Type="http://schemas.openxmlformats.org/officeDocument/2006/relationships/hyperlink" Target="https://www.elconfidencial.com/espana/2018-11-23/brexit-gibraltar-pablo-iglesias-pedro-sanchez-patriotismo_1664358/?utm_source=twitter&amp;utm_medium=social&amp;utm_campaign=NacionalDiarioAutomatico" TargetMode="External"/><Relationship Id="rId1155" Type="http://schemas.openxmlformats.org/officeDocument/2006/relationships/hyperlink" Target="http://www.citizengo.org/hazteoir/166670-no-expolie-por-segunda-vez-archivo-salamanca?tc=tw&amp;tcid=52313837" TargetMode="External"/><Relationship Id="rId1362" Type="http://schemas.openxmlformats.org/officeDocument/2006/relationships/hyperlink" Target="https://ift.tt/2zn7Egl" TargetMode="External"/><Relationship Id="rId2206" Type="http://schemas.openxmlformats.org/officeDocument/2006/relationships/hyperlink" Target="http://www.cuatro.com/noticias" TargetMode="External"/><Relationship Id="rId2413" Type="http://schemas.openxmlformats.org/officeDocument/2006/relationships/hyperlink" Target="https://www.elmundo.es/internacional/2018/11/22/5bf6b01b468aeb352a8b463a.html" TargetMode="External"/><Relationship Id="rId2620" Type="http://schemas.openxmlformats.org/officeDocument/2006/relationships/hyperlink" Target="https://www.actuall.com/democracia/pedro-sanchez-viaja-cuba-donde-ignorara-los-opositores-al-regimen/" TargetMode="External"/><Relationship Id="rId2858" Type="http://schemas.openxmlformats.org/officeDocument/2006/relationships/hyperlink" Target="https://ift.tt/2QedNoO" TargetMode="External"/><Relationship Id="rId99" Type="http://schemas.openxmlformats.org/officeDocument/2006/relationships/hyperlink" Target="http://www.salvararchivosalamanca.es/" TargetMode="External"/><Relationship Id="rId1015" Type="http://schemas.openxmlformats.org/officeDocument/2006/relationships/hyperlink" Target="http://bit.ly/2S5w4C7" TargetMode="External"/><Relationship Id="rId1222" Type="http://schemas.openxmlformats.org/officeDocument/2006/relationships/hyperlink" Target="https://www.libertaddigital.com/espana/2018-11-20/pedro-sanchez-piensa-ya-en-elecciones-en-marzo-pero-presiona-in-extremis-al-independentismo-1276628559/" TargetMode="External"/><Relationship Id="rId1667" Type="http://schemas.openxmlformats.org/officeDocument/2006/relationships/hyperlink" Target="https://pbs.twimg.com/media/DspeUNsU8AEPb-6.jpg" TargetMode="External"/><Relationship Id="rId1874" Type="http://schemas.openxmlformats.org/officeDocument/2006/relationships/hyperlink" Target="https://goo.gl/3crfr4" TargetMode="External"/><Relationship Id="rId2718" Type="http://schemas.openxmlformats.org/officeDocument/2006/relationships/hyperlink" Target="http://danielpintobausela.wordpress.com/" TargetMode="External"/><Relationship Id="rId2925" Type="http://schemas.openxmlformats.org/officeDocument/2006/relationships/hyperlink" Target="http://pic.twitter.com/XDBuiJ4eCp" TargetMode="External"/><Relationship Id="rId1527" Type="http://schemas.openxmlformats.org/officeDocument/2006/relationships/hyperlink" Target="http://www.entornointeligente.com/" TargetMode="External"/><Relationship Id="rId1734" Type="http://schemas.openxmlformats.org/officeDocument/2006/relationships/hyperlink" Target="http://tinyurl.com/yb99p62t" TargetMode="External"/><Relationship Id="rId1941" Type="http://schemas.openxmlformats.org/officeDocument/2006/relationships/hyperlink" Target="https://es.rt.com/6cui" TargetMode="External"/><Relationship Id="rId3187" Type="http://schemas.openxmlformats.org/officeDocument/2006/relationships/hyperlink" Target="https://goo.gl/so9nLU" TargetMode="External"/><Relationship Id="rId3394" Type="http://schemas.openxmlformats.org/officeDocument/2006/relationships/hyperlink" Target="https://lapaseata.net/2018/11/22/el-consejero-de-sanchez-y-ridley-scott/" TargetMode="External"/><Relationship Id="rId26" Type="http://schemas.openxmlformats.org/officeDocument/2006/relationships/hyperlink" Target="http://pic.twitter.com/7nCNPU1AaD" TargetMode="External"/><Relationship Id="rId3047" Type="http://schemas.openxmlformats.org/officeDocument/2006/relationships/hyperlink" Target="http://www.mercacei.com/noticia/49802/actualidad/el-chef-pedro-sanchez-restaurante-baga-primer-cocinero-de-la-provincia-de-jaen-en-obtener-una-estrella-michelin.html" TargetMode="External"/><Relationship Id="rId175" Type="http://schemas.openxmlformats.org/officeDocument/2006/relationships/hyperlink" Target="https://www.revistavanityfair.es/poder/articulos/marco-aguiriano-brexit-ue-theresa-may-pedro-sanchez-este-es-el-hombre-mas-indiscreto-de-europa/34843" TargetMode="External"/><Relationship Id="rId1801" Type="http://schemas.openxmlformats.org/officeDocument/2006/relationships/hyperlink" Target="https://rreloj.wordpress.com/" TargetMode="External"/><Relationship Id="rId3254" Type="http://schemas.openxmlformats.org/officeDocument/2006/relationships/hyperlink" Target="https://pbs.twimg.com/media/DsmU2dmXgAExcT3.jpg" TargetMode="External"/><Relationship Id="rId3461" Type="http://schemas.openxmlformats.org/officeDocument/2006/relationships/hyperlink" Target="https://okdiario.com/espana/2018/11/22/salvador-he-recibido-whatsapp-diputados-socialistas-apoyandome-3379012?utm_campaign=ok&amp;utm_medium=Social&amp;utm_source=Facebook" TargetMode="External"/><Relationship Id="rId3559" Type="http://schemas.openxmlformats.org/officeDocument/2006/relationships/hyperlink" Target="https://www.elmundo.es/economia/macroeconomia/2018/11/21/5bf542fa46163f8e9e8b4669.html" TargetMode="External"/><Relationship Id="rId382" Type="http://schemas.openxmlformats.org/officeDocument/2006/relationships/hyperlink" Target="https://twitter.com/miguelhotero" TargetMode="External"/><Relationship Id="rId687" Type="http://schemas.openxmlformats.org/officeDocument/2006/relationships/hyperlink" Target="https://www.larazon.es/amp/espana/pedro-sanchez-no-se-reunira-en-su-viaje-a-cuba-con-los-grupos-opositores-IH20630495" TargetMode="External"/><Relationship Id="rId2063" Type="http://schemas.openxmlformats.org/officeDocument/2006/relationships/hyperlink" Target="http://ondace.ro/woizo2" TargetMode="External"/><Relationship Id="rId2270" Type="http://schemas.openxmlformats.org/officeDocument/2006/relationships/hyperlink" Target="https://pbs.twimg.com/media/Dsoh_AIU0AUx7VQ.jpg" TargetMode="External"/><Relationship Id="rId2368" Type="http://schemas.openxmlformats.org/officeDocument/2006/relationships/hyperlink" Target="http://www.citizengo.org/hazteoir/166670-no-expolie-por-segunda-vez-archivo-salamanca?tc=tw&amp;tcid=52308457" TargetMode="External"/><Relationship Id="rId3114" Type="http://schemas.openxmlformats.org/officeDocument/2006/relationships/hyperlink" Target="https://pbs.twimg.com/media/DsnRL3iXgAA9y77.jpg" TargetMode="External"/><Relationship Id="rId3321" Type="http://schemas.openxmlformats.org/officeDocument/2006/relationships/hyperlink" Target="http://www.rtve.es/noticias/mas-24/" TargetMode="External"/><Relationship Id="rId242" Type="http://schemas.openxmlformats.org/officeDocument/2006/relationships/hyperlink" Target="http://www.pp.es/" TargetMode="External"/><Relationship Id="rId894" Type="http://schemas.openxmlformats.org/officeDocument/2006/relationships/hyperlink" Target="http://www.psoesanpedroalcantara.es/" TargetMode="External"/><Relationship Id="rId1177" Type="http://schemas.openxmlformats.org/officeDocument/2006/relationships/hyperlink" Target="https://www.20minutos.es/noticia/3499202/0/pedro-sanchez-viaje-cuba-reunion-diaz-canel-habana-llega/?utm_source=twitter.com&amp;utm_medium=socialshare&amp;utm_campaign=desktop" TargetMode="External"/><Relationship Id="rId2130" Type="http://schemas.openxmlformats.org/officeDocument/2006/relationships/hyperlink" Target="https://pbs.twimg.com/media/DsoynVnU8AU9o90.jpg" TargetMode="External"/><Relationship Id="rId2575" Type="http://schemas.openxmlformats.org/officeDocument/2006/relationships/hyperlink" Target="http://trabajadores.cu/" TargetMode="External"/><Relationship Id="rId2782" Type="http://schemas.openxmlformats.org/officeDocument/2006/relationships/hyperlink" Target="http://www.inmoavery.com/" TargetMode="External"/><Relationship Id="rId3419" Type="http://schemas.openxmlformats.org/officeDocument/2006/relationships/hyperlink" Target="https://pbs.twimg.com/media/DsmwE9VXgAAg957.jpg" TargetMode="External"/><Relationship Id="rId102" Type="http://schemas.openxmlformats.org/officeDocument/2006/relationships/hyperlink" Target="http://bit.ly/2zlCKVS" TargetMode="External"/><Relationship Id="rId547" Type="http://schemas.openxmlformats.org/officeDocument/2006/relationships/hyperlink" Target="http://www.diariodom.com/" TargetMode="External"/><Relationship Id="rId754" Type="http://schemas.openxmlformats.org/officeDocument/2006/relationships/hyperlink" Target="http://bit.ly/2AftodI" TargetMode="External"/><Relationship Id="rId961" Type="http://schemas.openxmlformats.org/officeDocument/2006/relationships/hyperlink" Target="http://www.bobestropajo.com/" TargetMode="External"/><Relationship Id="rId1384" Type="http://schemas.openxmlformats.org/officeDocument/2006/relationships/hyperlink" Target="http://www.telesurtv.net/" TargetMode="External"/><Relationship Id="rId1591" Type="http://schemas.openxmlformats.org/officeDocument/2006/relationships/hyperlink" Target="http://pic.twitter.com/cpOXGHdSwC" TargetMode="External"/><Relationship Id="rId1689" Type="http://schemas.openxmlformats.org/officeDocument/2006/relationships/hyperlink" Target="http://bitly.com/2OXHe9W" TargetMode="External"/><Relationship Id="rId2228" Type="http://schemas.openxmlformats.org/officeDocument/2006/relationships/hyperlink" Target="https://pbs.twimg.com/media/DsoolJkUwAAb9hT.jpg" TargetMode="External"/><Relationship Id="rId2435" Type="http://schemas.openxmlformats.org/officeDocument/2006/relationships/hyperlink" Target="https://twitter.com/gabrielrufian/status/923492222200369152" TargetMode="External"/><Relationship Id="rId2642" Type="http://schemas.openxmlformats.org/officeDocument/2006/relationships/hyperlink" Target="https://www.eldiario.es/zonacritica/Pedro-Sanchez-estropeado-experimento_6_838226218.html" TargetMode="External"/><Relationship Id="rId90" Type="http://schemas.openxmlformats.org/officeDocument/2006/relationships/hyperlink" Target="https://www.welt.de/politik/ausland/article184329420/Spaniens-Premier-Pedro-Sanchez-und-seine-Tiki-Taka-Technik.html?wtrid=onsite.onsitesearch" TargetMode="External"/><Relationship Id="rId407" Type="http://schemas.openxmlformats.org/officeDocument/2006/relationships/hyperlink" Target="http://latlaxiaquena.myl2mr.com/" TargetMode="External"/><Relationship Id="rId614" Type="http://schemas.openxmlformats.org/officeDocument/2006/relationships/hyperlink" Target="http://www.occuworld.org/news/4442695" TargetMode="External"/><Relationship Id="rId821" Type="http://schemas.openxmlformats.org/officeDocument/2006/relationships/hyperlink" Target="http://fernanmedrano.wordpress.com/" TargetMode="External"/><Relationship Id="rId1037" Type="http://schemas.openxmlformats.org/officeDocument/2006/relationships/hyperlink" Target="http://eleconomista.es/" TargetMode="External"/><Relationship Id="rId1244" Type="http://schemas.openxmlformats.org/officeDocument/2006/relationships/hyperlink" Target="http://es.euronews.com/" TargetMode="External"/><Relationship Id="rId1451" Type="http://schemas.openxmlformats.org/officeDocument/2006/relationships/hyperlink" Target="http://www.radioreloj.cu/es/destacadas/encabezan-diaz-canel-pedro-sanchez-firma-memorandos-fotos/" TargetMode="External"/><Relationship Id="rId1896" Type="http://schemas.openxmlformats.org/officeDocument/2006/relationships/hyperlink" Target="http://forexpatrones.blogspot.com/2018/07/curso-autodidacta-de-bolsa-e-inversion.html" TargetMode="External"/><Relationship Id="rId2502" Type="http://schemas.openxmlformats.org/officeDocument/2006/relationships/hyperlink" Target="https://noticierouniversal.com/destacadas/pedro-sanchez-nieto-de-militar/" TargetMode="External"/><Relationship Id="rId2947" Type="http://schemas.openxmlformats.org/officeDocument/2006/relationships/hyperlink" Target="http://www.hola.com/" TargetMode="External"/><Relationship Id="rId919" Type="http://schemas.openxmlformats.org/officeDocument/2006/relationships/hyperlink" Target="https://fr.euronews.com/2018/11/23/cuba-visite-historique-de-pedro-sanchez" TargetMode="External"/><Relationship Id="rId1104" Type="http://schemas.openxmlformats.org/officeDocument/2006/relationships/hyperlink" Target="https://www.abc.es/espana/abci-senado-pedira-cuentas-sanchez-y-profesores-validaron-tesis-201811230359_noticia.html" TargetMode="External"/><Relationship Id="rId1311" Type="http://schemas.openxmlformats.org/officeDocument/2006/relationships/hyperlink" Target="https://pbs.twimg.com/media/DsqfBZDXoAAjoeO.jpg" TargetMode="External"/><Relationship Id="rId1549" Type="http://schemas.openxmlformats.org/officeDocument/2006/relationships/hyperlink" Target="http://www.telam.com.ar/" TargetMode="External"/><Relationship Id="rId1756" Type="http://schemas.openxmlformats.org/officeDocument/2006/relationships/hyperlink" Target="http://epmundo.com/" TargetMode="External"/><Relationship Id="rId1963" Type="http://schemas.openxmlformats.org/officeDocument/2006/relationships/hyperlink" Target="https://www.elconfidencial.com/espana/cataluna/2018-11-21/erc-pide-pedro-sanchez-evite-elecciones_1658806/?utm_source=twitter&amp;utm_medium=social&amp;utm_campaign=BotoneraWeb" TargetMode="External"/><Relationship Id="rId2807" Type="http://schemas.openxmlformats.org/officeDocument/2006/relationships/hyperlink" Target="http://inteligenciaestrategica.com.mx/" TargetMode="External"/><Relationship Id="rId48" Type="http://schemas.openxmlformats.org/officeDocument/2006/relationships/hyperlink" Target="http://portaldiario.net/" TargetMode="External"/><Relationship Id="rId1409" Type="http://schemas.openxmlformats.org/officeDocument/2006/relationships/hyperlink" Target="http://epmundo.com/2018/theresa-may-le-saca-las-garras-al-gobierno-de-pedro-sanchez/" TargetMode="External"/><Relationship Id="rId1616" Type="http://schemas.openxmlformats.org/officeDocument/2006/relationships/hyperlink" Target="http://bit.ly/2AemoxH" TargetMode="External"/><Relationship Id="rId1823" Type="http://schemas.openxmlformats.org/officeDocument/2006/relationships/hyperlink" Target="https://nuevarevolucion.es/los-mercados-amigo-los-mercados/" TargetMode="External"/><Relationship Id="rId3069" Type="http://schemas.openxmlformats.org/officeDocument/2006/relationships/hyperlink" Target="https://twitter.com/CastigadorY/status/1065255140129759232" TargetMode="External"/><Relationship Id="rId3276" Type="http://schemas.openxmlformats.org/officeDocument/2006/relationships/hyperlink" Target="https://www.elmundo.es/espana/2018/11/20/5bf407ae46163f14b08b460e.html" TargetMode="External"/><Relationship Id="rId3483" Type="http://schemas.openxmlformats.org/officeDocument/2006/relationships/hyperlink" Target="http://www.periodistadigital.tv/este-es-el-momento-penoso-que-vivio-pedro-sanchez-al-saludar-al-primer-ministro-portugues_edf51e3eb.html" TargetMode="External"/><Relationship Id="rId197" Type="http://schemas.openxmlformats.org/officeDocument/2006/relationships/hyperlink" Target="https://www.facebook.com/pages/Prensa-Moran/458757464247068?ref=tn_tnmn" TargetMode="External"/><Relationship Id="rId2085" Type="http://schemas.openxmlformats.org/officeDocument/2006/relationships/hyperlink" Target="https://www.eldiario.es/politica/Pedro-Sanchez-Espana-Brexit-Gibraltar_0_838517223.html" TargetMode="External"/><Relationship Id="rId2292" Type="http://schemas.openxmlformats.org/officeDocument/2006/relationships/hyperlink" Target="http://www.venceremos.cu/" TargetMode="External"/><Relationship Id="rId3136" Type="http://schemas.openxmlformats.org/officeDocument/2006/relationships/hyperlink" Target="https://www.eldiestro.es/2018/11/alfonso-ussia-realiza-un-certero-estudio-psiquiatrico-de-la-vanidosa-personalidad-de-pedro-sanchez/" TargetMode="External"/><Relationship Id="rId3343" Type="http://schemas.openxmlformats.org/officeDocument/2006/relationships/hyperlink" Target="https://twitter.com/PaulBrandITV/status/1065586238361673729" TargetMode="External"/><Relationship Id="rId264" Type="http://schemas.openxmlformats.org/officeDocument/2006/relationships/hyperlink" Target="http://www.jaenparaisointerior.es/" TargetMode="External"/><Relationship Id="rId471" Type="http://schemas.openxmlformats.org/officeDocument/2006/relationships/hyperlink" Target="http://www.eitb.eus/es/television/programas/en-jake/" TargetMode="External"/><Relationship Id="rId2152" Type="http://schemas.openxmlformats.org/officeDocument/2006/relationships/hyperlink" Target="http://bit.ly/2BrnYhq" TargetMode="External"/><Relationship Id="rId2597" Type="http://schemas.openxmlformats.org/officeDocument/2006/relationships/hyperlink" Target="https://www.abc.es/opinion/abci-viaje-cuba-201811200137_noticia.html" TargetMode="External"/><Relationship Id="rId3550" Type="http://schemas.openxmlformats.org/officeDocument/2006/relationships/hyperlink" Target="http://bit.ly/2zm4NUR" TargetMode="External"/><Relationship Id="rId124" Type="http://schemas.openxmlformats.org/officeDocument/2006/relationships/hyperlink" Target="https://pbs.twimg.com/media/DssY9sMW0AA87jt.jpg" TargetMode="External"/><Relationship Id="rId569" Type="http://schemas.openxmlformats.org/officeDocument/2006/relationships/hyperlink" Target="http://bit.ly/2R6jjHr" TargetMode="External"/><Relationship Id="rId776" Type="http://schemas.openxmlformats.org/officeDocument/2006/relationships/hyperlink" Target="https://www.facebook.com/MonarquiaEspanola" TargetMode="External"/><Relationship Id="rId983" Type="http://schemas.openxmlformats.org/officeDocument/2006/relationships/hyperlink" Target="http://bit.ly/2Ty4uix" TargetMode="External"/><Relationship Id="rId1199" Type="http://schemas.openxmlformats.org/officeDocument/2006/relationships/hyperlink" Target="https://www.facebook.com/Rivasvaciamadridforo" TargetMode="External"/><Relationship Id="rId2457" Type="http://schemas.openxmlformats.org/officeDocument/2006/relationships/hyperlink" Target="http://atodomomento.com/" TargetMode="External"/><Relationship Id="rId2664" Type="http://schemas.openxmlformats.org/officeDocument/2006/relationships/hyperlink" Target="http://bit.ly/2Rb4qDP" TargetMode="External"/><Relationship Id="rId3203" Type="http://schemas.openxmlformats.org/officeDocument/2006/relationships/hyperlink" Target="http://bit.ly/2DTnhQG" TargetMode="External"/><Relationship Id="rId3410" Type="http://schemas.openxmlformats.org/officeDocument/2006/relationships/hyperlink" Target="https://okdiario.com/espana/2018/11/21/pedro-sanchez-no-reunira-oposicion-viaje-cuba-3377734/amp" TargetMode="External"/><Relationship Id="rId3508" Type="http://schemas.openxmlformats.org/officeDocument/2006/relationships/hyperlink" Target="https://www.ondacero.es/noticias/espana/pedro-sanchez-vera-cuba-periodistas-independientes-empresarios-pero-grupos-opositores_201811215bf5acac0cf21fd497139e9c.html" TargetMode="External"/><Relationship Id="rId331" Type="http://schemas.openxmlformats.org/officeDocument/2006/relationships/hyperlink" Target="https://pbs.twimg.com/media/DssKutCWkAA5QGR.jpg" TargetMode="External"/><Relationship Id="rId429" Type="http://schemas.openxmlformats.org/officeDocument/2006/relationships/hyperlink" Target="http://www.elestimulo.com/" TargetMode="External"/><Relationship Id="rId636" Type="http://schemas.openxmlformats.org/officeDocument/2006/relationships/hyperlink" Target="http://www.economiadigital.es/" TargetMode="External"/><Relationship Id="rId1059" Type="http://schemas.openxmlformats.org/officeDocument/2006/relationships/hyperlink" Target="https://www.elmundo.es/motor/2018/11/21/5bf51a38e5fdea963a8b4686.html" TargetMode="External"/><Relationship Id="rId1266" Type="http://schemas.openxmlformats.org/officeDocument/2006/relationships/hyperlink" Target="http://blog-cs.com/espluguesdellobregat/" TargetMode="External"/><Relationship Id="rId1473" Type="http://schemas.openxmlformats.org/officeDocument/2006/relationships/hyperlink" Target="https://pbs.twimg.com/media/DsLJkLCXQAAq392.jpg" TargetMode="External"/><Relationship Id="rId2012" Type="http://schemas.openxmlformats.org/officeDocument/2006/relationships/hyperlink" Target="https://pbs.twimg.com/media/Dso8Oe9U8AAdJBY.jpg" TargetMode="External"/><Relationship Id="rId2317" Type="http://schemas.openxmlformats.org/officeDocument/2006/relationships/hyperlink" Target="https://twitter.com/gazpachoblog/status/826075433087201281" TargetMode="External"/><Relationship Id="rId2871" Type="http://schemas.openxmlformats.org/officeDocument/2006/relationships/hyperlink" Target="http://catalananalyst.blogspot.com.es/" TargetMode="External"/><Relationship Id="rId2969" Type="http://schemas.openxmlformats.org/officeDocument/2006/relationships/hyperlink" Target="https://m.eldiario.es/_31fabec1" TargetMode="External"/><Relationship Id="rId843" Type="http://schemas.openxmlformats.org/officeDocument/2006/relationships/hyperlink" Target="http://asturgalicia.net/" TargetMode="External"/><Relationship Id="rId1126" Type="http://schemas.openxmlformats.org/officeDocument/2006/relationships/hyperlink" Target="http://www.mallorcadiario.com/" TargetMode="External"/><Relationship Id="rId1680" Type="http://schemas.openxmlformats.org/officeDocument/2006/relationships/hyperlink" Target="https://goo.gl/Vk9Qnt" TargetMode="External"/><Relationship Id="rId1778" Type="http://schemas.openxmlformats.org/officeDocument/2006/relationships/hyperlink" Target="http://www.eldiario.es/" TargetMode="External"/><Relationship Id="rId1985" Type="http://schemas.openxmlformats.org/officeDocument/2006/relationships/hyperlink" Target="https://www.20minutos.es/noticia/3499204/0/pedro-sanchez-espana-gibraltar-si-no-hay-cambios-vetaremos-brexit/" TargetMode="External"/><Relationship Id="rId2524" Type="http://schemas.openxmlformats.org/officeDocument/2006/relationships/hyperlink" Target="http://www.lapaginadefinitiva.com/" TargetMode="External"/><Relationship Id="rId2731" Type="http://schemas.openxmlformats.org/officeDocument/2006/relationships/hyperlink" Target="https://tv.libertaddigital.com/videos/2018-11-19/pedro-sanchez-confirma-que-el-y-el-presidente-del-gobierno-son-la-misma-persona-6067116.html" TargetMode="External"/><Relationship Id="rId2829" Type="http://schemas.openxmlformats.org/officeDocument/2006/relationships/hyperlink" Target="https://www.elmundo.es/internacional/2018/11/22/5bf6b01b468aeb352a8b463a.html" TargetMode="External"/><Relationship Id="rId703" Type="http://schemas.openxmlformats.org/officeDocument/2006/relationships/hyperlink" Target="https://www.economiadigital.es/politica-y-sociedad/el-ibex-senala-el-fin-del-gobierno-de-pedro-sanchez_590507_102.html?utm_source=Twitter&amp;utm_medium=Social" TargetMode="External"/><Relationship Id="rId910" Type="http://schemas.openxmlformats.org/officeDocument/2006/relationships/hyperlink" Target="https://twitter.com/JosPastr/status/1065880709095727104" TargetMode="External"/><Relationship Id="rId1333" Type="http://schemas.openxmlformats.org/officeDocument/2006/relationships/hyperlink" Target="http://labolsaenaccion.blogspot.com.es/" TargetMode="External"/><Relationship Id="rId1540" Type="http://schemas.openxmlformats.org/officeDocument/2006/relationships/hyperlink" Target="http://tinyurl.com/yb99p62t" TargetMode="External"/><Relationship Id="rId1638" Type="http://schemas.openxmlformats.org/officeDocument/2006/relationships/hyperlink" Target="http://noticiasvenezuela.org/" TargetMode="External"/><Relationship Id="rId1400" Type="http://schemas.openxmlformats.org/officeDocument/2006/relationships/hyperlink" Target="http://www.hilodirecto.com/" TargetMode="External"/><Relationship Id="rId1845" Type="http://schemas.openxmlformats.org/officeDocument/2006/relationships/hyperlink" Target="http://cubaenmiami.com/" TargetMode="External"/><Relationship Id="rId3060" Type="http://schemas.openxmlformats.org/officeDocument/2006/relationships/hyperlink" Target="https://okdiario.com/espana/2018/11/22/gobierno-reconoce-que-tumba-franco-inviolable-sin-autorizacion-del-prior-3376567" TargetMode="External"/><Relationship Id="rId3298" Type="http://schemas.openxmlformats.org/officeDocument/2006/relationships/hyperlink" Target="http://bit.ly/2PMddPz" TargetMode="External"/><Relationship Id="rId1705" Type="http://schemas.openxmlformats.org/officeDocument/2006/relationships/hyperlink" Target="https://www.20minutos.es/noticia/3499202/0/pedro-sanchez-viaje-cuba-reunion-diaz-canel-habana-llega/" TargetMode="External"/><Relationship Id="rId1912" Type="http://schemas.openxmlformats.org/officeDocument/2006/relationships/hyperlink" Target="http://www.lapoderosa.com/" TargetMode="External"/><Relationship Id="rId3158" Type="http://schemas.openxmlformats.org/officeDocument/2006/relationships/hyperlink" Target="http://www.rtve.es/alacarta/videos/telediario/" TargetMode="External"/><Relationship Id="rId3365" Type="http://schemas.openxmlformats.org/officeDocument/2006/relationships/hyperlink" Target="https://youtu.be/xyErsntwAFo" TargetMode="External"/><Relationship Id="rId3572" Type="http://schemas.openxmlformats.org/officeDocument/2006/relationships/hyperlink" Target="http://pic.twitter.com/9XYQDoEvOz" TargetMode="External"/><Relationship Id="rId286" Type="http://schemas.openxmlformats.org/officeDocument/2006/relationships/hyperlink" Target="https://www.europapress.es/andalucia/almeria-00350/noticia-casado-psoe-pedro-sanchez-susana-diaz-volviendo-poner-riesgo-pensiones-politica-erratica-20181123142428.html" TargetMode="External"/><Relationship Id="rId493" Type="http://schemas.openxmlformats.org/officeDocument/2006/relationships/hyperlink" Target="https://www.eldiario.es/politica/Pedro-Sanchez-Espana-Brexit-Gibraltar_0_838517223.html" TargetMode="External"/><Relationship Id="rId2174" Type="http://schemas.openxmlformats.org/officeDocument/2006/relationships/hyperlink" Target="https://www.aporrea.org/internacionales/n334640.h" TargetMode="External"/><Relationship Id="rId2381" Type="http://schemas.openxmlformats.org/officeDocument/2006/relationships/hyperlink" Target="https://okdiario.com/espana/2018/11/21/sanchez-mando-coche-oficial-vacio-valladolid-hacer-8-kms-del-aeropuerto-ciudad-3377374" TargetMode="External"/><Relationship Id="rId3018" Type="http://schemas.openxmlformats.org/officeDocument/2006/relationships/hyperlink" Target="https://pbs.twimg.com/media/DsnbG2FXoAApU4e.jpg" TargetMode="External"/><Relationship Id="rId3225" Type="http://schemas.openxmlformats.org/officeDocument/2006/relationships/hyperlink" Target="http://www.opinionydebate.es/" TargetMode="External"/><Relationship Id="rId3432" Type="http://schemas.openxmlformats.org/officeDocument/2006/relationships/hyperlink" Target="http://pic.twitter.com/JoPse863QZ" TargetMode="External"/><Relationship Id="rId146" Type="http://schemas.openxmlformats.org/officeDocument/2006/relationships/hyperlink" Target="https://www.economiadigital.es/politica-y-sociedad/el-ibex-senala-el-fin-del-gobierno-de-pedro-sanchez_590507_102.html" TargetMode="External"/><Relationship Id="rId353" Type="http://schemas.openxmlformats.org/officeDocument/2006/relationships/hyperlink" Target="http://canarias.ciudadanos-cs.org/" TargetMode="External"/><Relationship Id="rId560" Type="http://schemas.openxmlformats.org/officeDocument/2006/relationships/hyperlink" Target="https://pbs.twimg.com/media/Dsr1hOgXcAA6wJA.jpg" TargetMode="External"/><Relationship Id="rId798" Type="http://schemas.openxmlformats.org/officeDocument/2006/relationships/hyperlink" Target="https://www.elconfidencial.com/espana/2018-11-23/pedro-sanchez-adelanto-electoral-superdomingo-barones_1663322/?utm_source=newsletter&amp;utm_medium=email&amp;utm_campaign=news_ec&amp;utm_content=textlink&amp;utm_term=1" TargetMode="External"/><Relationship Id="rId1190" Type="http://schemas.openxmlformats.org/officeDocument/2006/relationships/hyperlink" Target="http://www.wakeupcongress.com/" TargetMode="External"/><Relationship Id="rId2034" Type="http://schemas.openxmlformats.org/officeDocument/2006/relationships/hyperlink" Target="http://bit.ly/2FBRTYH" TargetMode="External"/><Relationship Id="rId2241" Type="http://schemas.openxmlformats.org/officeDocument/2006/relationships/hyperlink" Target="http://atres.red/4ncii" TargetMode="External"/><Relationship Id="rId2479" Type="http://schemas.openxmlformats.org/officeDocument/2006/relationships/hyperlink" Target="https://www.periodistadigital.com/periodismo/tv/2018/11/22/ferreras-jefe-de-prensa-pedro-sanchez-rafa-hernando-gobierno-pp-borrell.shtml" TargetMode="External"/><Relationship Id="rId2686" Type="http://schemas.openxmlformats.org/officeDocument/2006/relationships/hyperlink" Target="http://blog.abc.es/f0wrf1" TargetMode="External"/><Relationship Id="rId2893" Type="http://schemas.openxmlformats.org/officeDocument/2006/relationships/hyperlink" Target="https://www.elindependiente.com/politica/2018/11/22/may-defendere-la-soberania-britanica-gibraltar-fui-absolutamente-clara-pedro-sanchez/?utm_source=share_buttons&amp;utm_medium=twitter&amp;utm_campaign=social_share" TargetMode="External"/><Relationship Id="rId213" Type="http://schemas.openxmlformats.org/officeDocument/2006/relationships/hyperlink" Target="http://bit.ly/2PMvBIe" TargetMode="External"/><Relationship Id="rId420" Type="http://schemas.openxmlformats.org/officeDocument/2006/relationships/hyperlink" Target="https://pbs.twimg.com/media/DssBmQWVYAAU_3Y.jpg" TargetMode="External"/><Relationship Id="rId658" Type="http://schemas.openxmlformats.org/officeDocument/2006/relationships/hyperlink" Target="https://pbs.twimg.com/media/Dsp8yODWoAEVn2i.jpg" TargetMode="External"/><Relationship Id="rId865" Type="http://schemas.openxmlformats.org/officeDocument/2006/relationships/hyperlink" Target="http://www.youtube.com/sila661" TargetMode="External"/><Relationship Id="rId1050" Type="http://schemas.openxmlformats.org/officeDocument/2006/relationships/hyperlink" Target="http://www.enliveapps.com/" TargetMode="External"/><Relationship Id="rId1288" Type="http://schemas.openxmlformats.org/officeDocument/2006/relationships/hyperlink" Target="https://pbs.twimg.com/media/Dsox0V7WkAA8IRM.jpg" TargetMode="External"/><Relationship Id="rId1495" Type="http://schemas.openxmlformats.org/officeDocument/2006/relationships/hyperlink" Target="http://www.periodismovivo.com.ar/" TargetMode="External"/><Relationship Id="rId2101" Type="http://schemas.openxmlformats.org/officeDocument/2006/relationships/hyperlink" Target="http://chng.it/RfC2ffKV" TargetMode="External"/><Relationship Id="rId2339" Type="http://schemas.openxmlformats.org/officeDocument/2006/relationships/hyperlink" Target="http://www.granma.cu/mundo/2018-11-21/biografia-oficial-del-excmo-sr-pedro-sanchez-perez-castejon-presidente-del-gobierno-del-reino-de-espana-21-11-2018-20-11-30" TargetMode="External"/><Relationship Id="rId2546" Type="http://schemas.openxmlformats.org/officeDocument/2006/relationships/hyperlink" Target="https://www.abc.es/opinion/abci-viaje-cuba-201811200137_noticia.html" TargetMode="External"/><Relationship Id="rId2753" Type="http://schemas.openxmlformats.org/officeDocument/2006/relationships/hyperlink" Target="https://www.periodistadigital.com/periodismo/prensa/2018/11/22/alfonso-ussia-borra-sonrisa-egolatra-sanchez-manda-volando-psiquiatrico.shtml" TargetMode="External"/><Relationship Id="rId2960" Type="http://schemas.openxmlformats.org/officeDocument/2006/relationships/hyperlink" Target="http://dlvr.it/QrsL2P" TargetMode="External"/><Relationship Id="rId518" Type="http://schemas.openxmlformats.org/officeDocument/2006/relationships/hyperlink" Target="https://pbs.twimg.com/media/Dsr5YHZXoAEXkL5.jpg" TargetMode="External"/><Relationship Id="rId725" Type="http://schemas.openxmlformats.org/officeDocument/2006/relationships/hyperlink" Target="https://youtu.be/OBEluUwFIu0" TargetMode="External"/><Relationship Id="rId932" Type="http://schemas.openxmlformats.org/officeDocument/2006/relationships/hyperlink" Target="http://youtu.be/OBEluUwFIu0?a" TargetMode="External"/><Relationship Id="rId1148" Type="http://schemas.openxmlformats.org/officeDocument/2006/relationships/hyperlink" Target="http://memoriasdeunadiabetica.blogspot.com.es/" TargetMode="External"/><Relationship Id="rId1355" Type="http://schemas.openxmlformats.org/officeDocument/2006/relationships/hyperlink" Target="http://www.elcorreodepozuelo.com/" TargetMode="External"/><Relationship Id="rId1562" Type="http://schemas.openxmlformats.org/officeDocument/2006/relationships/hyperlink" Target="http://bit.ly/2S3cbeW" TargetMode="External"/><Relationship Id="rId2406" Type="http://schemas.openxmlformats.org/officeDocument/2006/relationships/hyperlink" Target="http://pic.twitter.com/oX5Iot5J2j" TargetMode="External"/><Relationship Id="rId2613" Type="http://schemas.openxmlformats.org/officeDocument/2006/relationships/hyperlink" Target="https://okdiario.com/espana/2018/11/20/sanchez-gasta-cerca-millon-euros-poner-punto-luz-calefaccion-moncloa-3372360" TargetMode="External"/><Relationship Id="rId1008" Type="http://schemas.openxmlformats.org/officeDocument/2006/relationships/hyperlink" Target="http://www.fernandollopis.es/" TargetMode="External"/><Relationship Id="rId1215" Type="http://schemas.openxmlformats.org/officeDocument/2006/relationships/hyperlink" Target="http://www.firmamentocultural.blogspot.com.es/" TargetMode="External"/><Relationship Id="rId1422" Type="http://schemas.openxmlformats.org/officeDocument/2006/relationships/hyperlink" Target="http://www.cubadiplomatica.cu/haiti/ES/Inicio.aspx" TargetMode="External"/><Relationship Id="rId1867" Type="http://schemas.openxmlformats.org/officeDocument/2006/relationships/hyperlink" Target="https://pbs.twimg.com/media/DspJB8IUcAAXKZZ.jpg" TargetMode="External"/><Relationship Id="rId2820" Type="http://schemas.openxmlformats.org/officeDocument/2006/relationships/hyperlink" Target="http://14ymedio.com/" TargetMode="External"/><Relationship Id="rId2918" Type="http://schemas.openxmlformats.org/officeDocument/2006/relationships/hyperlink" Target="https://twitter.com/sanchezcastejon/status/798790920728494080" TargetMode="External"/><Relationship Id="rId61" Type="http://schemas.openxmlformats.org/officeDocument/2006/relationships/hyperlink" Target="https://www.lasexta.com/noticias/nacional/pedro-sanchez-presidente-cuba-diaz-canel-comprometen-hablar-cada-ano-derechos-humanos_201811235bf7a3c90cf25d6" TargetMode="External"/><Relationship Id="rId1727" Type="http://schemas.openxmlformats.org/officeDocument/2006/relationships/hyperlink" Target="https://twitter.com/Golpealos/status/1065598421288058881" TargetMode="External"/><Relationship Id="rId1934" Type="http://schemas.openxmlformats.org/officeDocument/2006/relationships/hyperlink" Target="https://pbs.twimg.com/media/DspDtMjWwAEucYE.jpg" TargetMode="External"/><Relationship Id="rId3082" Type="http://schemas.openxmlformats.org/officeDocument/2006/relationships/hyperlink" Target="http://elmundovino.elmundo.es/elmundovino/" TargetMode="External"/><Relationship Id="rId3387" Type="http://schemas.openxmlformats.org/officeDocument/2006/relationships/hyperlink" Target="http://www.elmundo.es/madrid" TargetMode="External"/><Relationship Id="rId19" Type="http://schemas.openxmlformats.org/officeDocument/2006/relationships/hyperlink" Target="https://ift.tt/2KscPQp" TargetMode="External"/><Relationship Id="rId2196" Type="http://schemas.openxmlformats.org/officeDocument/2006/relationships/hyperlink" Target="https://www.esdiario.com/385299377/Escandalo-en-el-PSOE-su-presidente-del-Comite-de-Etica-al-banquillo-y-no-dimite.html" TargetMode="External"/><Relationship Id="rId168" Type="http://schemas.openxmlformats.org/officeDocument/2006/relationships/hyperlink" Target="https://pbs.twimg.com/media/DssWIGsXcAAjrbg.jpg" TargetMode="External"/><Relationship Id="rId3247" Type="http://schemas.openxmlformats.org/officeDocument/2006/relationships/hyperlink" Target="http://www.granma.cu/mundo/2018-11-21/biografia-oficial-del-excmo-sr-pedro-sanchez-perez-castejon-presidente-del-gobierno-del-reino-de-espana-21-11-2018-20-11-30" TargetMode="External"/><Relationship Id="rId3454" Type="http://schemas.openxmlformats.org/officeDocument/2006/relationships/hyperlink" Target="http://ow.ly/26gZ30mIiJe" TargetMode="External"/><Relationship Id="rId375" Type="http://schemas.openxmlformats.org/officeDocument/2006/relationships/hyperlink" Target="https://estudioslatinoseiberoamericanos.wordpress.com/2016/08/04/espana-debe-dejar-el-bloqueo-politico-y-continuar-su-buen-ritmo-consolidando-lo-bien-logrado-e-ir-por-mas-a-que-le-dice-no-pedro-sanchez-cuando-el-no-p/" TargetMode="External"/><Relationship Id="rId582" Type="http://schemas.openxmlformats.org/officeDocument/2006/relationships/hyperlink" Target="http://politica.elpais.com/" TargetMode="External"/><Relationship Id="rId2056" Type="http://schemas.openxmlformats.org/officeDocument/2006/relationships/hyperlink" Target="https://pbs.twimg.com/media/Dso3APdX4AAvn0g.jpg" TargetMode="External"/><Relationship Id="rId2263" Type="http://schemas.openxmlformats.org/officeDocument/2006/relationships/hyperlink" Target="http://pic.twitter.com/C6ydik4AC5" TargetMode="External"/><Relationship Id="rId2470" Type="http://schemas.openxmlformats.org/officeDocument/2006/relationships/hyperlink" Target="http://www.elindependiente.com/" TargetMode="External"/><Relationship Id="rId3107" Type="http://schemas.openxmlformats.org/officeDocument/2006/relationships/hyperlink" Target="https://movilidadelectrica.com/pedro-sanchez-espana-necesita-al-coche-electrico-para-mantener-sus-niveles-de-exportacion/" TargetMode="External"/><Relationship Id="rId3314" Type="http://schemas.openxmlformats.org/officeDocument/2006/relationships/hyperlink" Target="https://www.instagram.com/crisnpatience/" TargetMode="External"/><Relationship Id="rId3521" Type="http://schemas.openxmlformats.org/officeDocument/2006/relationships/hyperlink" Target="http://fotografiadesdefalcon.blogspot.com/" TargetMode="External"/><Relationship Id="rId3" Type="http://schemas.openxmlformats.org/officeDocument/2006/relationships/hyperlink" Target="http://www.cambio16.com/" TargetMode="External"/><Relationship Id="rId235" Type="http://schemas.openxmlformats.org/officeDocument/2006/relationships/hyperlink" Target="https://www.economiadigital.es/politica-y-sociedad/el-ibex-senala-el-fin-del-gobierno-de-pedro-sanchez_590507_102.html" TargetMode="External"/><Relationship Id="rId442" Type="http://schemas.openxmlformats.org/officeDocument/2006/relationships/hyperlink" Target="https://buff.ly/2DTF8GX" TargetMode="External"/><Relationship Id="rId887" Type="http://schemas.openxmlformats.org/officeDocument/2006/relationships/hyperlink" Target="https://twitter.com/sanchezcastejon/status/1065718710466428928" TargetMode="External"/><Relationship Id="rId1072" Type="http://schemas.openxmlformats.org/officeDocument/2006/relationships/hyperlink" Target="https://www.publico.es/internacional/espana-planta-brexit-y-dice-ve-impensable-acuerdo-27.html" TargetMode="External"/><Relationship Id="rId2123" Type="http://schemas.openxmlformats.org/officeDocument/2006/relationships/hyperlink" Target="https://twitter.com/hermanntertsch/status/1065693079720640512" TargetMode="External"/><Relationship Id="rId2330" Type="http://schemas.openxmlformats.org/officeDocument/2006/relationships/hyperlink" Target="https://twitter.com/Albert_Rivera/status/1065230411448688640" TargetMode="External"/><Relationship Id="rId2568" Type="http://schemas.openxmlformats.org/officeDocument/2006/relationships/hyperlink" Target="http://ow.ly/RJHg30mIbgU" TargetMode="External"/><Relationship Id="rId2775" Type="http://schemas.openxmlformats.org/officeDocument/2006/relationships/hyperlink" Target="https://www.elmundo.es/internacional/2018/11/22/5bf6b01b468aeb352a8b463a.html" TargetMode="External"/><Relationship Id="rId2982" Type="http://schemas.openxmlformats.org/officeDocument/2006/relationships/hyperlink" Target="https://pbs.twimg.com/media/Dsnd27wUUAATXHF.jpg" TargetMode="External"/><Relationship Id="rId302" Type="http://schemas.openxmlformats.org/officeDocument/2006/relationships/hyperlink" Target="https://www.elmundo.es/espana/2018/11/23/5bf7e88a268e3e2e658b459a.html" TargetMode="External"/><Relationship Id="rId747" Type="http://schemas.openxmlformats.org/officeDocument/2006/relationships/hyperlink" Target="http://www.asociacionail.com/" TargetMode="External"/><Relationship Id="rId954" Type="http://schemas.openxmlformats.org/officeDocument/2006/relationships/hyperlink" Target="http://www.lavanguardia.com/" TargetMode="External"/><Relationship Id="rId1377" Type="http://schemas.openxmlformats.org/officeDocument/2006/relationships/hyperlink" Target="http://tinyurl.com/ycolus53" TargetMode="External"/><Relationship Id="rId1584" Type="http://schemas.openxmlformats.org/officeDocument/2006/relationships/hyperlink" Target="https://pbs.twimg.com/media/DspsV4FV4AAstw5.jpg" TargetMode="External"/><Relationship Id="rId1791" Type="http://schemas.openxmlformats.org/officeDocument/2006/relationships/hyperlink" Target="http://www.jornada.com.mx/ultimas/2018/11/22/llega-pedro-sanchez-a-cuba-en-historica-visita-9864.html" TargetMode="External"/><Relationship Id="rId2428" Type="http://schemas.openxmlformats.org/officeDocument/2006/relationships/hyperlink" Target="https://www.elmundo.es/economia/macroeconomia/2018/11/21/5bf542fa46163f8e9e8b4669.html" TargetMode="External"/><Relationship Id="rId2635"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842" Type="http://schemas.openxmlformats.org/officeDocument/2006/relationships/hyperlink" Target="https://pbs.twimg.com/media/Dsnpq-rWsAEOEqH.jpg" TargetMode="External"/><Relationship Id="rId83" Type="http://schemas.openxmlformats.org/officeDocument/2006/relationships/hyperlink" Target="http://www.lahoradelaverdad.com.co/ministro-pedro-sanchez-amenaza-con-votar-en-contra-del-brexit/" TargetMode="External"/><Relationship Id="rId607" Type="http://schemas.openxmlformats.org/officeDocument/2006/relationships/hyperlink" Target="https://twitter.com/HispaniaFortius" TargetMode="External"/><Relationship Id="rId814" Type="http://schemas.openxmlformats.org/officeDocument/2006/relationships/hyperlink" Target="http://youtu.be/p4X9MiaH8UY?a" TargetMode="External"/><Relationship Id="rId1237" Type="http://schemas.openxmlformats.org/officeDocument/2006/relationships/hyperlink" Target="https://www.elmundo.es/espana/2018/11/21/5bf5ab23e2704ea02f8b4581.html" TargetMode="External"/><Relationship Id="rId1444" Type="http://schemas.openxmlformats.org/officeDocument/2006/relationships/hyperlink" Target="http://www.radioreloj.cu/" TargetMode="External"/><Relationship Id="rId1651" Type="http://schemas.openxmlformats.org/officeDocument/2006/relationships/hyperlink" Target="http://theobjective.com/" TargetMode="External"/><Relationship Id="rId1889" Type="http://schemas.openxmlformats.org/officeDocument/2006/relationships/hyperlink" Target="https://twitter.com/FelixLlerenaCUB/status/1065639734746189825" TargetMode="External"/><Relationship Id="rId2702" Type="http://schemas.openxmlformats.org/officeDocument/2006/relationships/hyperlink" Target="https://www.farodevigo.es/" TargetMode="External"/><Relationship Id="rId1304" Type="http://schemas.openxmlformats.org/officeDocument/2006/relationships/hyperlink" Target="http://bit.ly/2R3veFE" TargetMode="External"/><Relationship Id="rId1511" Type="http://schemas.openxmlformats.org/officeDocument/2006/relationships/hyperlink" Target="https://twitter.com/MariaTabarnia/status/1065714049185402880" TargetMode="External"/><Relationship Id="rId1749" Type="http://schemas.openxmlformats.org/officeDocument/2006/relationships/hyperlink" Target="http://www.minrex.gob.cu/" TargetMode="External"/><Relationship Id="rId1956" Type="http://schemas.openxmlformats.org/officeDocument/2006/relationships/hyperlink" Target="https://noticierouniversal.com/actualidad/pedro-sanchez-asegura-que-ha-hablado-con-theresa-may-y-si-no-hay-cambios-vetaremos-el-brexit/" TargetMode="External"/><Relationship Id="rId3171" Type="http://schemas.openxmlformats.org/officeDocument/2006/relationships/hyperlink" Target="http://bit.ly/2QZhagw" TargetMode="External"/><Relationship Id="rId1609" Type="http://schemas.openxmlformats.org/officeDocument/2006/relationships/hyperlink" Target="https://pbs.twimg.com/media/DsposrtXcAAjnCU.jpg" TargetMode="External"/><Relationship Id="rId1816" Type="http://schemas.openxmlformats.org/officeDocument/2006/relationships/hyperlink" Target="https://www.facebook.com/noticias15segundos" TargetMode="External"/><Relationship Id="rId3269" Type="http://schemas.openxmlformats.org/officeDocument/2006/relationships/hyperlink" Target="https://go.shr.lc/2SXzOHc" TargetMode="External"/><Relationship Id="rId3476" Type="http://schemas.openxmlformats.org/officeDocument/2006/relationships/hyperlink" Target="http://page.is/manuel" TargetMode="External"/><Relationship Id="rId10" Type="http://schemas.openxmlformats.org/officeDocument/2006/relationships/hyperlink" Target="http://www.periodistadigital.com/" TargetMode="External"/><Relationship Id="rId397" Type="http://schemas.openxmlformats.org/officeDocument/2006/relationships/hyperlink" Target="http://www.revistavanityfair.es/" TargetMode="External"/><Relationship Id="rId2078" Type="http://schemas.openxmlformats.org/officeDocument/2006/relationships/hyperlink" Target="http://dlvr.it/QrtdqC" TargetMode="External"/><Relationship Id="rId2285" Type="http://schemas.openxmlformats.org/officeDocument/2006/relationships/hyperlink" Target="https://www.elmundo.es/internacional/2018/11/22/5bf6b01b468aeb352a8b463a.html" TargetMode="External"/><Relationship Id="rId2492" Type="http://schemas.openxmlformats.org/officeDocument/2006/relationships/hyperlink" Target="https://www.proyectohumanitariokudidito.com/" TargetMode="External"/><Relationship Id="rId3031" Type="http://schemas.openxmlformats.org/officeDocument/2006/relationships/hyperlink" Target="http://www.youtube.com/jcvelez" TargetMode="External"/><Relationship Id="rId3129" Type="http://schemas.openxmlformats.org/officeDocument/2006/relationships/hyperlink" Target="https://okdiario.com/deportes/futbol/2018/11/20/portugal-deja-mentiroso-pedro-sanchez-mundial-inventado-3372638" TargetMode="External"/><Relationship Id="rId3336" Type="http://schemas.openxmlformats.org/officeDocument/2006/relationships/hyperlink" Target="http://www.granma.cu/mundo/2018-11-21/biografia-oficial-del-excmo-sr-pedro-sanchez-perez-castejon-presidente-del-gobierno-del-reino-de-espana-21-11-2018-20-11-30" TargetMode="External"/><Relationship Id="rId257" Type="http://schemas.openxmlformats.org/officeDocument/2006/relationships/hyperlink" Target="http://ow.ly/IEDY101mPnS" TargetMode="External"/><Relationship Id="rId464" Type="http://schemas.openxmlformats.org/officeDocument/2006/relationships/hyperlink" Target="https://prnoticias.com/comunicacion/comunicacion-politica/20170809-cuenta-el-gabinete-de-pedro-sanchez-con-una-estrategia-de-comunicacion-cohesionada-y-planificada" TargetMode="External"/><Relationship Id="rId1094" Type="http://schemas.openxmlformats.org/officeDocument/2006/relationships/hyperlink" Target="http://cibercuba.com/" TargetMode="External"/><Relationship Id="rId2145" Type="http://schemas.openxmlformats.org/officeDocument/2006/relationships/hyperlink" Target="https://www.libertaddigital.com/espana/2018-11-22/pedro-sanchez-viaja-a-cuba-para-rendir-pleitesia-al-regimen-castrista-1276628700/" TargetMode="External"/><Relationship Id="rId2797" Type="http://schemas.openxmlformats.org/officeDocument/2006/relationships/hyperlink" Target="http://www.hotelcondestableiranzo.es/" TargetMode="External"/><Relationship Id="rId3543" Type="http://schemas.openxmlformats.org/officeDocument/2006/relationships/hyperlink" Target="https://pbs.twimg.com/media/Dsmh58OWoAEuyjQ.jpg" TargetMode="External"/><Relationship Id="rId117" Type="http://schemas.openxmlformats.org/officeDocument/2006/relationships/hyperlink" Target="https://elultimocondoramericano.wordpress.com/2018/11/23/etiquetas-espana-miguel-diaz-canel-bermudez-pedro-sanchez-perez-castejon-seguiremos-atendiendo-a-la-poblacion-hasta-el-ultimo-momento/" TargetMode="External"/><Relationship Id="rId671" Type="http://schemas.openxmlformats.org/officeDocument/2006/relationships/hyperlink" Target="https://www.libertaddigital.com/espana/2018-11-22/pedro-sanchez-viaja-a-cuba-para-rendir-pleitesia-al-regimen-castrista-1276628700/" TargetMode="External"/><Relationship Id="rId769" Type="http://schemas.openxmlformats.org/officeDocument/2006/relationships/hyperlink" Target="http://www.vocerohispania.blogspot.com/" TargetMode="External"/><Relationship Id="rId976" Type="http://schemas.openxmlformats.org/officeDocument/2006/relationships/hyperlink" Target="https://www.eldiario.es/internacional/Londres-Bruselas-UE-Reino-Unido_0_838516313.html" TargetMode="External"/><Relationship Id="rId1399" Type="http://schemas.openxmlformats.org/officeDocument/2006/relationships/hyperlink" Target="https://pbs.twimg.com/media/DsqKwyyU8AEAyE9.jpg" TargetMode="External"/><Relationship Id="rId2352" Type="http://schemas.openxmlformats.org/officeDocument/2006/relationships/hyperlink" Target="https://t.co/RRRnkIASDn" TargetMode="External"/><Relationship Id="rId2657" Type="http://schemas.openxmlformats.org/officeDocument/2006/relationships/hyperlink" Target="https://pbs.twimg.com/media/Dsn4Mw0WwAAEG5Q.jpg" TargetMode="External"/><Relationship Id="rId3403" Type="http://schemas.openxmlformats.org/officeDocument/2006/relationships/hyperlink" Target="https://pbs.twimg.com/media/Dsmh58OWoAEuyjQ.jpg" TargetMode="External"/><Relationship Id="rId324" Type="http://schemas.openxmlformats.org/officeDocument/2006/relationships/hyperlink" Target="http://www.infocatolica.com/?t=noticia&amp;cod=31103" TargetMode="External"/><Relationship Id="rId531" Type="http://schemas.openxmlformats.org/officeDocument/2006/relationships/hyperlink" Target="https://youtu.be/cQNTYvOF1x4" TargetMode="External"/><Relationship Id="rId629" Type="http://schemas.openxmlformats.org/officeDocument/2006/relationships/hyperlink" Target="http://dlvr.it/QrwVt7" TargetMode="External"/><Relationship Id="rId1161" Type="http://schemas.openxmlformats.org/officeDocument/2006/relationships/hyperlink" Target="http://www.periodistadigital.com/opinion/politica/2018/11/23/el-okupa-pedro-sanchez-tambien-hace-el-ridiculo-en-gibraltar.shtml" TargetMode="External"/><Relationship Id="rId1259" Type="http://schemas.openxmlformats.org/officeDocument/2006/relationships/hyperlink" Target="http://instagram.com/chos1982" TargetMode="External"/><Relationship Id="rId1466" Type="http://schemas.openxmlformats.org/officeDocument/2006/relationships/hyperlink" Target="https://www.eldiario.es/internacional/Londres-Bruselas-UE-Reino-Unido_0_838516313.html" TargetMode="External"/><Relationship Id="rId2005" Type="http://schemas.openxmlformats.org/officeDocument/2006/relationships/hyperlink" Target="https://pbs.twimg.com/media/Dso8wp2UwAEQMyE.jpg" TargetMode="External"/><Relationship Id="rId2212" Type="http://schemas.openxmlformats.org/officeDocument/2006/relationships/hyperlink" Target="https://www.elmundo.es/internacional/2018/11/22/5bf6b01b468aeb352a8b463a.html" TargetMode="External"/><Relationship Id="rId2864" Type="http://schemas.openxmlformats.org/officeDocument/2006/relationships/hyperlink" Target="https://www.elindependiente.com/politica/2018/11/22/may-defendere-la-soberania-britanica-gibraltar-fui-absolutamente-clara-pedro-sanchez/?utm_source=share_buttons&amp;utm_medium=twitter&amp;utm_campaign=social_share2" TargetMode="External"/><Relationship Id="rId836" Type="http://schemas.openxmlformats.org/officeDocument/2006/relationships/hyperlink" Target="https://www.20minutos.es/minuteca/carlos-garcia-miranda/" TargetMode="External"/><Relationship Id="rId1021" Type="http://schemas.openxmlformats.org/officeDocument/2006/relationships/hyperlink" Target="https://elpais.com/internacional/2018/11/22/actualidad/1542914000_295410.html?id_externo_rsoc=TW_CM" TargetMode="External"/><Relationship Id="rId1119" Type="http://schemas.openxmlformats.org/officeDocument/2006/relationships/hyperlink" Target="http://www.ondacero.es/programas/noticias-mediodia/" TargetMode="External"/><Relationship Id="rId1673" Type="http://schemas.openxmlformats.org/officeDocument/2006/relationships/hyperlink" Target="https://oncubanews.com/cuba/pedro-sanchez-y-miguel-diaz-canel-conversan-a-solas-en-la-habana/" TargetMode="External"/><Relationship Id="rId1880" Type="http://schemas.openxmlformats.org/officeDocument/2006/relationships/hyperlink" Target="http://tinyurl.com/yb99p62t" TargetMode="External"/><Relationship Id="rId1978" Type="http://schemas.openxmlformats.org/officeDocument/2006/relationships/hyperlink" Target="http://www.uh.cu/" TargetMode="External"/><Relationship Id="rId2517" Type="http://schemas.openxmlformats.org/officeDocument/2006/relationships/hyperlink" Target="https://www.cope.es/programas/herrera-en-cope/la-tertulia-de-los-oyentes/noticias/sanchez-interplanetario-cuba-marte-pasando-por-meca-mejor-tertulia-los-oyentes-20181122_297768" TargetMode="External"/><Relationship Id="rId2724" Type="http://schemas.openxmlformats.org/officeDocument/2006/relationships/hyperlink" Target="https://www.miracorredor.tv/duro-varapalo-de-la-juez-al-alcalde-de-alcala-de-henares-que-habia-pedido-un-trato-especial/" TargetMode="External"/><Relationship Id="rId2931" Type="http://schemas.openxmlformats.org/officeDocument/2006/relationships/hyperlink" Target="https://www.laopiniondemurcia.es/nacional/2018/11/22/may-advierte-protegera-soberania-britanica/974539.html" TargetMode="External"/><Relationship Id="rId903" Type="http://schemas.openxmlformats.org/officeDocument/2006/relationships/hyperlink" Target="https://ift.tt/2BtwLQh" TargetMode="External"/><Relationship Id="rId1326" Type="http://schemas.openxmlformats.org/officeDocument/2006/relationships/hyperlink" Target="http://comentando05.blogspot.com/" TargetMode="External"/><Relationship Id="rId1533" Type="http://schemas.openxmlformats.org/officeDocument/2006/relationships/hyperlink" Target="https://ift.tt/2PRIVvb" TargetMode="External"/><Relationship Id="rId1740" Type="http://schemas.openxmlformats.org/officeDocument/2006/relationships/hyperlink" Target="https://pbs.twimg.com/media/DspVsofU4AAtPHE.jpg" TargetMode="External"/><Relationship Id="rId3193" Type="http://schemas.openxmlformats.org/officeDocument/2006/relationships/hyperlink" Target="https://okdiario.com/espana/2018/11/21/ejercito-del-aire-tres-aviones-pedro-sanchez-3373984" TargetMode="External"/><Relationship Id="rId32" Type="http://schemas.openxmlformats.org/officeDocument/2006/relationships/hyperlink" Target="http://www.prnoticias.com/" TargetMode="External"/><Relationship Id="rId1600" Type="http://schemas.openxmlformats.org/officeDocument/2006/relationships/hyperlink" Target="https://www.facebook.com/Me-lo-dices-o-me-lo-cuentas-Te-lo-cuento-1209658342506537/" TargetMode="External"/><Relationship Id="rId1838" Type="http://schemas.openxmlformats.org/officeDocument/2006/relationships/hyperlink" Target="https://pbs.twimg.com/media/DspLuiBU0AUVr-K.jpg" TargetMode="External"/><Relationship Id="rId3053" Type="http://schemas.openxmlformats.org/officeDocument/2006/relationships/hyperlink" Target="http://bit.ly/2qVUHWm" TargetMode="External"/><Relationship Id="rId3260" Type="http://schemas.openxmlformats.org/officeDocument/2006/relationships/hyperlink" Target="http://pic.twitter.com/N9JJYHo5er" TargetMode="External"/><Relationship Id="rId3498" Type="http://schemas.openxmlformats.org/officeDocument/2006/relationships/hyperlink" Target="https://www.hechosdehoy.com/theresa-may-y-pedro-sanchez-larga-llamada-sobre-gibraltar-70270.htm" TargetMode="External"/><Relationship Id="rId181" Type="http://schemas.openxmlformats.org/officeDocument/2006/relationships/hyperlink" Target="https://www.facebook.com/Germ%C3%A1n-Margheritti-275371036175792/" TargetMode="External"/><Relationship Id="rId1905" Type="http://schemas.openxmlformats.org/officeDocument/2006/relationships/hyperlink" Target="http://karikakos.blogspot.com/" TargetMode="External"/><Relationship Id="rId3120" Type="http://schemas.openxmlformats.org/officeDocument/2006/relationships/hyperlink" Target="http://www.damasdeblanco.org/" TargetMode="External"/><Relationship Id="rId3358" Type="http://schemas.openxmlformats.org/officeDocument/2006/relationships/hyperlink" Target="http://victoria-heitzmann.blogspot.com/" TargetMode="External"/><Relationship Id="rId3565" Type="http://schemas.openxmlformats.org/officeDocument/2006/relationships/hyperlink" Target="https://cubanosporelmundo.com/" TargetMode="External"/><Relationship Id="rId279" Type="http://schemas.openxmlformats.org/officeDocument/2006/relationships/hyperlink" Target="https://twitter.com/sanchezcastejon/status/1065957380532375552" TargetMode="External"/><Relationship Id="rId486" Type="http://schemas.openxmlformats.org/officeDocument/2006/relationships/hyperlink" Target="https://www.elconfidencial.com/espana/2018-11-23/pedro-sanchez-adelanto-electoral-superdomingo-barones_1663322/?utm_source=twitter&amp;utm_medium=social&amp;utm_campaign=BotoneraWeb" TargetMode="External"/><Relationship Id="rId693" Type="http://schemas.openxmlformats.org/officeDocument/2006/relationships/hyperlink" Target="https://www.economiadigital.es/politica-y-sociedad/el-ibex-senala-el-fin-del-gobierno-de-pedro-sanchez_590507_102.html" TargetMode="External"/><Relationship Id="rId2167" Type="http://schemas.openxmlformats.org/officeDocument/2006/relationships/hyperlink" Target="http://20minutos.es/" TargetMode="External"/><Relationship Id="rId2374" Type="http://schemas.openxmlformats.org/officeDocument/2006/relationships/hyperlink" Target="http://www.elpais.com/" TargetMode="External"/><Relationship Id="rId2581" Type="http://schemas.openxmlformats.org/officeDocument/2006/relationships/hyperlink" Target="http://lademajagua.cu/llegara-hoy-cuba-pedro-sanchez-perez-presidente-del-gobierno-espana/" TargetMode="External"/><Relationship Id="rId3218" Type="http://schemas.openxmlformats.org/officeDocument/2006/relationships/hyperlink" Target="http://www.cadenagramonte.cu/articulos/ver/83751:presidente-de-espana-llega-hoy-a-cuba" TargetMode="External"/><Relationship Id="rId3425" Type="http://schemas.openxmlformats.org/officeDocument/2006/relationships/hyperlink" Target="http://elcubildelogro.blogspot.com/" TargetMode="External"/><Relationship Id="rId139" Type="http://schemas.openxmlformats.org/officeDocument/2006/relationships/hyperlink" Target="http://www.slaymultimedios.com/" TargetMode="External"/><Relationship Id="rId346" Type="http://schemas.openxmlformats.org/officeDocument/2006/relationships/hyperlink" Target="http://trabajadores.cu/" TargetMode="External"/><Relationship Id="rId553" Type="http://schemas.openxmlformats.org/officeDocument/2006/relationships/hyperlink" Target="http://epmundo.com/" TargetMode="External"/><Relationship Id="rId760" Type="http://schemas.openxmlformats.org/officeDocument/2006/relationships/hyperlink" Target="http://rachaelhistorias.blogspot.com.es/" TargetMode="External"/><Relationship Id="rId998" Type="http://schemas.openxmlformats.org/officeDocument/2006/relationships/hyperlink" Target="http://atres.red/qn9ti2" TargetMode="External"/><Relationship Id="rId1183" Type="http://schemas.openxmlformats.org/officeDocument/2006/relationships/hyperlink" Target="http://ow.ly/TdRj30mICFw" TargetMode="External"/><Relationship Id="rId1390" Type="http://schemas.openxmlformats.org/officeDocument/2006/relationships/hyperlink" Target="http://dlvr.it/QrvQjw" TargetMode="External"/><Relationship Id="rId2027" Type="http://schemas.openxmlformats.org/officeDocument/2006/relationships/hyperlink" Target="http://www.europapress.es/" TargetMode="External"/><Relationship Id="rId2234" Type="http://schemas.openxmlformats.org/officeDocument/2006/relationships/hyperlink" Target="http://www.votoenblanco.com/" TargetMode="External"/><Relationship Id="rId2441" Type="http://schemas.openxmlformats.org/officeDocument/2006/relationships/hyperlink" Target="https://pbs.twimg.com/media/DsoR663UUAUWvoW.jpg" TargetMode="External"/><Relationship Id="rId2679" Type="http://schemas.openxmlformats.org/officeDocument/2006/relationships/hyperlink" Target="https://www.cubanet.org/destacados/espana-cuba-presidente-sanchez/" TargetMode="External"/><Relationship Id="rId2886" Type="http://schemas.openxmlformats.org/officeDocument/2006/relationships/hyperlink" Target="http://bit.ly/2Ko8Rs5" TargetMode="External"/><Relationship Id="rId206" Type="http://schemas.openxmlformats.org/officeDocument/2006/relationships/hyperlink" Target="https://www.abc.es/espana/abci-jose-daniel-ferrer-posible-liberen-presos-para-decir-visita-pedro-sanchez-cuba-sido-exito-201811230406_noticia.html" TargetMode="External"/><Relationship Id="rId413" Type="http://schemas.openxmlformats.org/officeDocument/2006/relationships/hyperlink" Target="https://pbs.twimg.com/media/Dsq-a-NXoAEicbm.jpg" TargetMode="External"/><Relationship Id="rId858" Type="http://schemas.openxmlformats.org/officeDocument/2006/relationships/hyperlink" Target="http://ow.ly/JCbD30mISnX" TargetMode="External"/><Relationship Id="rId1043" Type="http://schemas.openxmlformats.org/officeDocument/2006/relationships/hyperlink" Target="http://tinyurl.com/yb99p62t" TargetMode="External"/><Relationship Id="rId1488" Type="http://schemas.openxmlformats.org/officeDocument/2006/relationships/hyperlink" Target="http://www.sumarium.es/" TargetMode="External"/><Relationship Id="rId1695" Type="http://schemas.openxmlformats.org/officeDocument/2006/relationships/hyperlink" Target="https://pbs.twimg.com/media/DspbpjRU4AEd-wR.jpg" TargetMode="External"/><Relationship Id="rId2539" Type="http://schemas.openxmlformats.org/officeDocument/2006/relationships/hyperlink" Target="https://www.eldigitaldealbacete.com/2018/11/22/el-gobierno-de-pedro-sanchez-esta-en-tramites-para-construir-un-nuevo-estacionamiento-invernal-en-albacete/" TargetMode="External"/><Relationship Id="rId2746" Type="http://schemas.openxmlformats.org/officeDocument/2006/relationships/hyperlink" Target="https://www.periodistadigital.com/periodismo/tv/2018/11/22/ferreras-jefe-de-prensa-pedro-sanchez-rafa-hernando-gobierno-pp-borrell.shtml" TargetMode="External"/><Relationship Id="rId2953" Type="http://schemas.openxmlformats.org/officeDocument/2006/relationships/hyperlink" Target="https://www.elmundo.es/espana/2018/11/22/5bf69d8ee5fdeac2548b467d.html" TargetMode="External"/><Relationship Id="rId620" Type="http://schemas.openxmlformats.org/officeDocument/2006/relationships/hyperlink" Target="http://alcantarillasocial.com/author/protestona1" TargetMode="External"/><Relationship Id="rId718" Type="http://schemas.openxmlformats.org/officeDocument/2006/relationships/hyperlink" Target="https://diariopatriota.com/pedro-sanchez-se-niega-a-criticar-a-gabriel-rufian-para-no-enfadar-a-los-independentistas/" TargetMode="External"/><Relationship Id="rId925" Type="http://schemas.openxmlformats.org/officeDocument/2006/relationships/hyperlink" Target="http://www.periodistadigital.com/" TargetMode="External"/><Relationship Id="rId1250" Type="http://schemas.openxmlformats.org/officeDocument/2006/relationships/hyperlink" Target="https://www.instagram.com/will_llermo/" TargetMode="External"/><Relationship Id="rId1348" Type="http://schemas.openxmlformats.org/officeDocument/2006/relationships/hyperlink" Target="http://bit.ly/EP_Venezuela" TargetMode="External"/><Relationship Id="rId1555" Type="http://schemas.openxmlformats.org/officeDocument/2006/relationships/hyperlink" Target="http://www.radiocubana.icrt.cu/149-destacados/23997-cuba-recibio-miguel-diaz-canel-al-presidente-del-gobierno-espanol-pedro-sanchez" TargetMode="External"/><Relationship Id="rId1762" Type="http://schemas.openxmlformats.org/officeDocument/2006/relationships/hyperlink" Target="http://www.cubadebate.cu/noticias/2018/11/22/presidente-del-gobierno-espanol-arribo-a-cuba-para-iniciar-visita-oficial/" TargetMode="External"/><Relationship Id="rId2301" Type="http://schemas.openxmlformats.org/officeDocument/2006/relationships/hyperlink" Target="https://okdiario-com.cdn.ampproject.org/v/s/okdiario.com/espana/2018/11/15/sanchez-renuncia-cosoberania-gibraltar-acuerdo-del-brexit-3351904/amp?amp_js_v=0.1&amp;usqp=mq331AQJCAEoAVgBgAEB" TargetMode="External"/><Relationship Id="rId2606" Type="http://schemas.openxmlformats.org/officeDocument/2006/relationships/hyperlink" Target="https://www.wattpad.com/user/Xiscthulhu" TargetMode="External"/><Relationship Id="rId1110" Type="http://schemas.openxmlformats.org/officeDocument/2006/relationships/hyperlink" Target="http://www.periodistadigital.com/" TargetMode="External"/><Relationship Id="rId1208" Type="http://schemas.openxmlformats.org/officeDocument/2006/relationships/hyperlink" Target="https://okdiario.com/espana/2018/11/22/pedro-sanchez-asegura-que-hablado-theresa-may-si-no-hay-cambios-vetaremos-brexit-3382282" TargetMode="External"/><Relationship Id="rId1415" Type="http://schemas.openxmlformats.org/officeDocument/2006/relationships/hyperlink" Target="http://www.americateve.com/" TargetMode="External"/><Relationship Id="rId2813" Type="http://schemas.openxmlformats.org/officeDocument/2006/relationships/hyperlink" Target="https://bit.ly/2DQT58N" TargetMode="External"/><Relationship Id="rId54" Type="http://schemas.openxmlformats.org/officeDocument/2006/relationships/hyperlink" Target="http://www.grupomatienzo.com/" TargetMode="External"/><Relationship Id="rId1622" Type="http://schemas.openxmlformats.org/officeDocument/2006/relationships/hyperlink" Target="https://sptnkne.ws/kdyF" TargetMode="External"/><Relationship Id="rId1927" Type="http://schemas.openxmlformats.org/officeDocument/2006/relationships/hyperlink" Target="https://pbs.twimg.com/media/DspD0LFU0AAfo8m.jpg" TargetMode="External"/><Relationship Id="rId3075" Type="http://schemas.openxmlformats.org/officeDocument/2006/relationships/hyperlink" Target="http://www.infojaen.com/la-junta-felicita-a-pedro-sanchez-baga-exalumno-de-la-laguna-por-su-estrella-michelin-la-primera-de-la-provincia/" TargetMode="External"/><Relationship Id="rId3282" Type="http://schemas.openxmlformats.org/officeDocument/2006/relationships/hyperlink" Target="https://www.madridesnoticia.es/2018/11/reunion-moncloa-pedro-sanchez-angel-garrido/" TargetMode="External"/><Relationship Id="rId2091" Type="http://schemas.openxmlformats.org/officeDocument/2006/relationships/hyperlink" Target="https://www.lasprovincias.es/internacional/union-europea/bruselas-londres-acuerdo-posbrexit-20181122115651-ntrc.html" TargetMode="External"/><Relationship Id="rId2189" Type="http://schemas.openxmlformats.org/officeDocument/2006/relationships/hyperlink" Target="https://www.elconfidencial.com/espana/cataluna/2018-11-21/erc-pide-pedro-sanchez-evite-elecciones_1658806/?utm_source=facebook&amp;utm_medium=social&amp;utm_campaign=BotoneraWeb" TargetMode="External"/><Relationship Id="rId3142" Type="http://schemas.openxmlformats.org/officeDocument/2006/relationships/hyperlink" Target="https://curiouscat.me/Pablo_Petrov" TargetMode="External"/><Relationship Id="rId270" Type="http://schemas.openxmlformats.org/officeDocument/2006/relationships/hyperlink" Target="https://pbs.twimg.com/media/DssOTksX4AAkSuX.jpg" TargetMode="External"/><Relationship Id="rId2396" Type="http://schemas.openxmlformats.org/officeDocument/2006/relationships/hyperlink" Target="https://goo.gl/LWLbxK" TargetMode="External"/><Relationship Id="rId3002" Type="http://schemas.openxmlformats.org/officeDocument/2006/relationships/hyperlink" Target="http://vozdesdeeldestierro.juancarlosherreraacosta.over-blog.es/2018/11/pedro-sanchez-inicia-una-visita-a-cuba-sin-citas-con-la-disidencia.html" TargetMode="External"/><Relationship Id="rId3447" Type="http://schemas.openxmlformats.org/officeDocument/2006/relationships/hyperlink" Target="https://www.facebook.com/1572394793/posts/10212657629906976/" TargetMode="External"/><Relationship Id="rId130" Type="http://schemas.openxmlformats.org/officeDocument/2006/relationships/hyperlink" Target="https://pbs.twimg.com/media/DspTqkUVsAA7sp2.jpg" TargetMode="External"/><Relationship Id="rId368" Type="http://schemas.openxmlformats.org/officeDocument/2006/relationships/hyperlink" Target="https://estudioslatinoseiberoamericanos.wordpress.com/2016/08/06/espana-debe-dejar-el-bloqueo-politico-y-continuar-su-buen-ritmo-consolidando-lo-bien-logrado-e-ir-por-mas-a-que-le-dice-no-pedro-sanchez-cuando-el-no-p-2/" TargetMode="External"/><Relationship Id="rId575" Type="http://schemas.openxmlformats.org/officeDocument/2006/relationships/hyperlink" Target="https://www.diariolasamericas.com/c4167024" TargetMode="External"/><Relationship Id="rId782" Type="http://schemas.openxmlformats.org/officeDocument/2006/relationships/hyperlink" Target="http://dlvr.it/QrwGDv" TargetMode="External"/><Relationship Id="rId2049" Type="http://schemas.openxmlformats.org/officeDocument/2006/relationships/hyperlink" Target="http://www.marbella24horas.es/local/el-mitin-de-pedro-sanchez-y-susana-diaz-en-marbella-cambia-de-dia-24029" TargetMode="External"/><Relationship Id="rId2256" Type="http://schemas.openxmlformats.org/officeDocument/2006/relationships/hyperlink" Target="http://nuevarevolucion.es/articulos/luis-aneiros/" TargetMode="External"/><Relationship Id="rId2463" Type="http://schemas.openxmlformats.org/officeDocument/2006/relationships/hyperlink" Target="https://www.diariovasco.com/politica/pedro-sanchez-conversacion-gibraltar-brexit-20181122013215-ntrc.html" TargetMode="External"/><Relationship Id="rId2670" Type="http://schemas.openxmlformats.org/officeDocument/2006/relationships/hyperlink" Target="http://www.ceutatv.com/" TargetMode="External"/><Relationship Id="rId3307" Type="http://schemas.openxmlformats.org/officeDocument/2006/relationships/hyperlink" Target="http://atres.red/ezjda8" TargetMode="External"/><Relationship Id="rId3514" Type="http://schemas.openxmlformats.org/officeDocument/2006/relationships/hyperlink" Target="https://marchalsabater.wordpress.com/" TargetMode="External"/><Relationship Id="rId228" Type="http://schemas.openxmlformats.org/officeDocument/2006/relationships/hyperlink" Target="http://www.laventanadelsur.es/" TargetMode="External"/><Relationship Id="rId435" Type="http://schemas.openxmlformats.org/officeDocument/2006/relationships/hyperlink" Target="https://pbs.twimg.com/media/DssAV-rXgAAQItv.jpg" TargetMode="External"/><Relationship Id="rId642" Type="http://schemas.openxmlformats.org/officeDocument/2006/relationships/hyperlink" Target="http://www.energiadiario.com/" TargetMode="External"/><Relationship Id="rId1065" Type="http://schemas.openxmlformats.org/officeDocument/2006/relationships/hyperlink" Target="https://salmonetesyanonosquedan.blogspot.com/2018/11/totus.html" TargetMode="External"/><Relationship Id="rId1272" Type="http://schemas.openxmlformats.org/officeDocument/2006/relationships/hyperlink" Target="http://ver.20m.es/dlw8r3" TargetMode="External"/><Relationship Id="rId2116" Type="http://schemas.openxmlformats.org/officeDocument/2006/relationships/hyperlink" Target="http://www.rtve.es/a/4853298" TargetMode="External"/><Relationship Id="rId2323" Type="http://schemas.openxmlformats.org/officeDocument/2006/relationships/hyperlink" Target="http://www.telesurtv.net/" TargetMode="External"/><Relationship Id="rId2530" Type="http://schemas.openxmlformats.org/officeDocument/2006/relationships/hyperlink" Target="http://www.cambio16.com/" TargetMode="External"/><Relationship Id="rId2768" Type="http://schemas.openxmlformats.org/officeDocument/2006/relationships/hyperlink" Target="https://okdiario.com/espana/2018/11/21/sanchez-mando-coche-oficial-vacio-valladolid-hacer-8-kms-del-aeropuerto-ciudad-3377374" TargetMode="External"/><Relationship Id="rId2975" Type="http://schemas.openxmlformats.org/officeDocument/2006/relationships/hyperlink" Target="http://www.minrex.gob.cu/es/llegara-hoy-cuba-el-presidente-de-espana" TargetMode="External"/><Relationship Id="rId502" Type="http://schemas.openxmlformats.org/officeDocument/2006/relationships/hyperlink" Target="http://larioja.ciudadanos-cs.org/" TargetMode="External"/><Relationship Id="rId947" Type="http://schemas.openxmlformats.org/officeDocument/2006/relationships/hyperlink" Target="http://www.rtve.es/lasmananas" TargetMode="External"/><Relationship Id="rId1132" Type="http://schemas.openxmlformats.org/officeDocument/2006/relationships/hyperlink" Target="https://pbs.twimg.com/media/Dsq8BceXgAA1aAk.jpg" TargetMode="External"/><Relationship Id="rId1577" Type="http://schemas.openxmlformats.org/officeDocument/2006/relationships/hyperlink" Target="http://youtu.be/TNxCJmqJLBc?a" TargetMode="External"/><Relationship Id="rId1784" Type="http://schemas.openxmlformats.org/officeDocument/2006/relationships/hyperlink" Target="https://www.diariocritico.com/noticia/523504/opinion/el-otono-de-pedro-sanchez.htm" TargetMode="External"/><Relationship Id="rId1991" Type="http://schemas.openxmlformats.org/officeDocument/2006/relationships/hyperlink" Target="http://dlvr.it/QrtjJ2" TargetMode="External"/><Relationship Id="rId2628" Type="http://schemas.openxmlformats.org/officeDocument/2006/relationships/hyperlink" Target="http://www.despiertainfo.com/2018/11/20/la-rfef-desautoriza-a-pedro-sanchez-para-organizar-el-mundial-con-marruecos-en-2030/" TargetMode="External"/><Relationship Id="rId2835" Type="http://schemas.openxmlformats.org/officeDocument/2006/relationships/hyperlink" Target="https://www.infobae.com/america/mundo/2018/11/22/theresa-may-advirtio-a-espana-que-protegera-la-soberania-britanica-de-gibraltar-ante-el-brexit/" TargetMode="External"/><Relationship Id="rId76" Type="http://schemas.openxmlformats.org/officeDocument/2006/relationships/hyperlink" Target="http://www.periodistadigital.com/politica/gobierno/2018/11/23/pedro-sanchez-presume-viaje-dictadura-cubana-twitter-masacra-vividor.shtml" TargetMode="External"/><Relationship Id="rId807" Type="http://schemas.openxmlformats.org/officeDocument/2006/relationships/hyperlink" Target="https://pbs.twimg.com/media/DsrZXYqX4AAdVN5.jpg" TargetMode="External"/><Relationship Id="rId1437" Type="http://schemas.openxmlformats.org/officeDocument/2006/relationships/hyperlink" Target="https://pbs.twimg.com/media/DsqD5MWU4AE-WPi.jpg" TargetMode="External"/><Relationship Id="rId1644" Type="http://schemas.openxmlformats.org/officeDocument/2006/relationships/hyperlink" Target="http://bit.ly/1TgN8me" TargetMode="External"/><Relationship Id="rId1851" Type="http://schemas.openxmlformats.org/officeDocument/2006/relationships/hyperlink" Target="https://pbs.twimg.com/media/DspLOv3WwAEwSZQ.jpg" TargetMode="External"/><Relationship Id="rId2902" Type="http://schemas.openxmlformats.org/officeDocument/2006/relationships/hyperlink" Target="https://www.ciudadanos-cs.org/" TargetMode="External"/><Relationship Id="rId3097" Type="http://schemas.openxmlformats.org/officeDocument/2006/relationships/hyperlink" Target="https://youtu.be/OBEluUwFIu0" TargetMode="External"/><Relationship Id="rId1504" Type="http://schemas.openxmlformats.org/officeDocument/2006/relationships/hyperlink" Target="https://pbs.twimg.com/media/Dsp5NP7U8AARmKH.jpg" TargetMode="External"/><Relationship Id="rId1711" Type="http://schemas.openxmlformats.org/officeDocument/2006/relationships/hyperlink" Target="https://okdiario-com.cdn.ampproject.org/v/s/okdiario.com/espana/2018/11/22/pedro-sanchez-llega-habana-reunirse-dictador-diaz-canel-3382248/amp?amp_js_v=a2&amp;amp_gsa=1" TargetMode="External"/><Relationship Id="rId1949" Type="http://schemas.openxmlformats.org/officeDocument/2006/relationships/hyperlink" Target="https://www.elmundo.es/espana/2018/11/21/5bf5ab23e2704ea02f8b4581.html" TargetMode="External"/><Relationship Id="rId3164" Type="http://schemas.openxmlformats.org/officeDocument/2006/relationships/hyperlink" Target="https://cubanosporelmundo.com/" TargetMode="External"/><Relationship Id="rId292" Type="http://schemas.openxmlformats.org/officeDocument/2006/relationships/hyperlink" Target="http://www.zoevaldes.net/" TargetMode="External"/><Relationship Id="rId1809" Type="http://schemas.openxmlformats.org/officeDocument/2006/relationships/hyperlink" Target="https://pbs.twimg.com/media/DspOAAtU8AAReoZ.jpg" TargetMode="External"/><Relationship Id="rId3371" Type="http://schemas.openxmlformats.org/officeDocument/2006/relationships/hyperlink" Target="http://www.sesametime.com/" TargetMode="External"/><Relationship Id="rId3469" Type="http://schemas.openxmlformats.org/officeDocument/2006/relationships/hyperlink" Target="https://nuevarevolucion.es/pedro-sanchez-el-paso-atras-de-la-izquierda/" TargetMode="External"/><Relationship Id="rId597" Type="http://schemas.openxmlformats.org/officeDocument/2006/relationships/hyperlink" Target="https://goo.gl/fb/Yt7ofw" TargetMode="External"/><Relationship Id="rId2180" Type="http://schemas.openxmlformats.org/officeDocument/2006/relationships/hyperlink" Target="http://bit.ly/2DPMNpS" TargetMode="External"/><Relationship Id="rId2278" Type="http://schemas.openxmlformats.org/officeDocument/2006/relationships/hyperlink" Target="https://pbs.twimg.com/media/DsfqAx6XcAMBIoi.jpg" TargetMode="External"/><Relationship Id="rId2485" Type="http://schemas.openxmlformats.org/officeDocument/2006/relationships/hyperlink" Target="https://www.revistavanityfair.es/poder/articulos/visita-pedro-sanchez-cuba-felipe-gonzalez-fidel-castro-fraga-suarez/34767" TargetMode="External"/><Relationship Id="rId3024" Type="http://schemas.openxmlformats.org/officeDocument/2006/relationships/hyperlink" Target="https://okdiario.com/opinion/2018/09/15/mentiroso-chulo-jeta-plagiario-mediocre-censor-3117399" TargetMode="External"/><Relationship Id="rId3231" Type="http://schemas.openxmlformats.org/officeDocument/2006/relationships/hyperlink" Target="http://shr.gs/Ym5cOaZ" TargetMode="External"/><Relationship Id="rId3329" Type="http://schemas.openxmlformats.org/officeDocument/2006/relationships/hyperlink" Target="http://despiertalfuturo.piensaen.es/" TargetMode="External"/><Relationship Id="rId152" Type="http://schemas.openxmlformats.org/officeDocument/2006/relationships/hyperlink" Target="http://www.youtube.com/channel/UCT6Zy6dkQsfxARRlPOjbn0A" TargetMode="External"/><Relationship Id="rId457" Type="http://schemas.openxmlformats.org/officeDocument/2006/relationships/hyperlink" Target="https://pbs.twimg.com/media/Dsr9lYiWwAE1nTb.jpg" TargetMode="External"/><Relationship Id="rId1087" Type="http://schemas.openxmlformats.org/officeDocument/2006/relationships/hyperlink" Target="http://www.reportur.com/" TargetMode="External"/><Relationship Id="rId1294" Type="http://schemas.openxmlformats.org/officeDocument/2006/relationships/hyperlink" Target="http://www.cope.es/" TargetMode="External"/><Relationship Id="rId2040" Type="http://schemas.openxmlformats.org/officeDocument/2006/relationships/hyperlink" Target="https://www.eldiario.es/politica/Marlaska-Pedro-Sanchez-candidato-Madrid_0_836066553.html" TargetMode="External"/><Relationship Id="rId2138" Type="http://schemas.openxmlformats.org/officeDocument/2006/relationships/hyperlink" Target="https://www.laopinioncoruna.es/multimedia/videos/internacional/2018-11-22-158190-acuerdo-entre-reino-unido-menciona-peon.html" TargetMode="External"/><Relationship Id="rId2692" Type="http://schemas.openxmlformats.org/officeDocument/2006/relationships/hyperlink" Target="https://m.eldiario.es/_31f6512a" TargetMode="External"/><Relationship Id="rId2997" Type="http://schemas.openxmlformats.org/officeDocument/2006/relationships/hyperlink" Target="http://www.pp.es/" TargetMode="External"/><Relationship Id="rId3536" Type="http://schemas.openxmlformats.org/officeDocument/2006/relationships/hyperlink" Target="http://www.periodistadigital.com/economia/instituciones/2018/11/21/la-union-europea-da-la-puntilla-a-las-cuentas-de-pedro-sanchez-al-alertar-de-desvios-en-deficit-y-deuda.shtml" TargetMode="External"/><Relationship Id="rId664" Type="http://schemas.openxmlformats.org/officeDocument/2006/relationships/hyperlink" Target="https://www.facebook.com/100003395081586/posts/1764317367024749/" TargetMode="External"/><Relationship Id="rId871" Type="http://schemas.openxmlformats.org/officeDocument/2006/relationships/hyperlink" Target="http://www.francoismonti.com/" TargetMode="External"/><Relationship Id="rId969" Type="http://schemas.openxmlformats.org/officeDocument/2006/relationships/hyperlink" Target="https://www.periodistadigital.com/america/sociedad/2018/11/23/patada-por-el-culo-pedro-sanchez-solicitantes-asilo-vuelva-diciembre-2020.shtml" TargetMode="External"/><Relationship Id="rId1599" Type="http://schemas.openxmlformats.org/officeDocument/2006/relationships/hyperlink" Target="http://pic.twitter.com/QvK8P1t3I6" TargetMode="External"/><Relationship Id="rId2345" Type="http://schemas.openxmlformats.org/officeDocument/2006/relationships/hyperlink" Target="http://about.me/domroberto" TargetMode="External"/><Relationship Id="rId2552" Type="http://schemas.openxmlformats.org/officeDocument/2006/relationships/hyperlink" Target="http://www.elconfidencialdigital.com/" TargetMode="External"/><Relationship Id="rId317" Type="http://schemas.openxmlformats.org/officeDocument/2006/relationships/hyperlink" Target="https://pbs.twimg.com/media/DssLXygWoAIgTlZ.jpg" TargetMode="External"/><Relationship Id="rId524" Type="http://schemas.openxmlformats.org/officeDocument/2006/relationships/hyperlink" Target="http://bit.ly/2R4yH6X" TargetMode="External"/><Relationship Id="rId731" Type="http://schemas.openxmlformats.org/officeDocument/2006/relationships/hyperlink" Target="http://www.pp.es/" TargetMode="External"/><Relationship Id="rId1154" Type="http://schemas.openxmlformats.org/officeDocument/2006/relationships/hyperlink" Target="http://www.alfayomega.es/author/jose-calderero" TargetMode="External"/><Relationship Id="rId1361" Type="http://schemas.openxmlformats.org/officeDocument/2006/relationships/hyperlink" Target="https://nuevarevolucion.es/pedro-sanchez-el-paso-atras-de-la-izquierda/" TargetMode="External"/><Relationship Id="rId1459" Type="http://schemas.openxmlformats.org/officeDocument/2006/relationships/hyperlink" Target="http://www.radioreloj.cu/" TargetMode="External"/><Relationship Id="rId2205" Type="http://schemas.openxmlformats.org/officeDocument/2006/relationships/hyperlink" Target="https://pbs.twimg.com/media/DsonIS1WkAAgIVe.jpg" TargetMode="External"/><Relationship Id="rId2412" Type="http://schemas.openxmlformats.org/officeDocument/2006/relationships/hyperlink" Target="https://m.eldiario.es/politica/Marlaska-Pedro-Sanchez-candidato-Madrid_0_836066553.html" TargetMode="External"/><Relationship Id="rId2857" Type="http://schemas.openxmlformats.org/officeDocument/2006/relationships/hyperlink" Target="http://zonadepor.net/" TargetMode="External"/><Relationship Id="rId98" Type="http://schemas.openxmlformats.org/officeDocument/2006/relationships/hyperlink" Target="https://www.citizengo.org/es/node/166670" TargetMode="External"/><Relationship Id="rId829" Type="http://schemas.openxmlformats.org/officeDocument/2006/relationships/hyperlink" Target="http://www.lacasademitia.es/articulo/politica/pedro-sanchez-ha-estropeado-experimento-carlos-elordi-diario/20181123062404087234.html" TargetMode="External"/><Relationship Id="rId1014" Type="http://schemas.openxmlformats.org/officeDocument/2006/relationships/hyperlink" Target="http://elconfidencial.com/" TargetMode="External"/><Relationship Id="rId1221" Type="http://schemas.openxmlformats.org/officeDocument/2006/relationships/hyperlink" Target="http://agendapublica.elperiodico.com/analistas/diana-ortega/" TargetMode="External"/><Relationship Id="rId1666" Type="http://schemas.openxmlformats.org/officeDocument/2006/relationships/hyperlink" Target="http://bit.ly/2DQT58N" TargetMode="External"/><Relationship Id="rId1873" Type="http://schemas.openxmlformats.org/officeDocument/2006/relationships/hyperlink" Target="https://pbs.twimg.com/media/DspISOoUcAE3AO8.jpg" TargetMode="External"/><Relationship Id="rId2717" Type="http://schemas.openxmlformats.org/officeDocument/2006/relationships/hyperlink" Target="https://www.elmundo.es/espana/2018/11/21/5bf5ab23e2704ea02f8b4581.html" TargetMode="External"/><Relationship Id="rId2924" Type="http://schemas.openxmlformats.org/officeDocument/2006/relationships/hyperlink" Target="https://www.elmundo.es/espana/2018/11/20/5bf329dc468aeb4f5a8b459e.html" TargetMode="External"/><Relationship Id="rId1319" Type="http://schemas.openxmlformats.org/officeDocument/2006/relationships/hyperlink" Target="http://factornoticia.com/2018/11/22/polonia-pedro-sanchez-hace-lo-contrario-de-lo-que-dice/" TargetMode="External"/><Relationship Id="rId1526" Type="http://schemas.openxmlformats.org/officeDocument/2006/relationships/hyperlink" Target="https://pbs.twimg.com/media/Dsp2hJqUwAEBX7N.jpg" TargetMode="External"/><Relationship Id="rId1733" Type="http://schemas.openxmlformats.org/officeDocument/2006/relationships/hyperlink" Target="https://www.elindependiente.com/politica/2018/11/21/pedro-sanchez-no-se-reunira-la-oposicion-al-castrismo-viaje-cuba/?utm_source=share_buttons&amp;utm_medium=twitter&amp;utm_campaign=social_share" TargetMode="External"/><Relationship Id="rId1940" Type="http://schemas.openxmlformats.org/officeDocument/2006/relationships/hyperlink" Target="https://okdiario.com/espana/2018/11/09/asi-atacaba-joven-pedro-sanchez-mundo-juez-garzon-destapar-crimenes-del-gal-3330784" TargetMode="External"/><Relationship Id="rId3186" Type="http://schemas.openxmlformats.org/officeDocument/2006/relationships/hyperlink" Target="http://www.atlas-news.com/" TargetMode="External"/><Relationship Id="rId3393" Type="http://schemas.openxmlformats.org/officeDocument/2006/relationships/hyperlink" Target="https://lapaseata.net/" TargetMode="External"/><Relationship Id="rId25" Type="http://schemas.openxmlformats.org/officeDocument/2006/relationships/hyperlink" Target="http://www.europapress.es/nacional/" TargetMode="External"/><Relationship Id="rId1800" Type="http://schemas.openxmlformats.org/officeDocument/2006/relationships/hyperlink" Target="http://www.notinet.icrt.cu/index.php?option=com_content&amp;view=article&amp;id=16064:llego-a-cuba-el-presidente-del-gobierno-del-reino-de-espana-&amp;catid=1:noticias-de-cuba&amp;Itemid=50" TargetMode="External"/><Relationship Id="rId3046" Type="http://schemas.openxmlformats.org/officeDocument/2006/relationships/hyperlink" Target="https://www.eldiario.es/politica/Marlaska-Pedro-Sanchez-candidato-Madrid_0_836066553.html" TargetMode="External"/><Relationship Id="rId3253" Type="http://schemas.openxmlformats.org/officeDocument/2006/relationships/hyperlink" Target="http://perocomotehaspuesto.blogspot.com.es/" TargetMode="External"/><Relationship Id="rId3460" Type="http://schemas.openxmlformats.org/officeDocument/2006/relationships/hyperlink" Target="http://www.consultor.com/" TargetMode="External"/><Relationship Id="rId174" Type="http://schemas.openxmlformats.org/officeDocument/2006/relationships/hyperlink" Target="http://traslamascara.com/" TargetMode="External"/><Relationship Id="rId381" Type="http://schemas.openxmlformats.org/officeDocument/2006/relationships/hyperlink" Target="https://alnavio.com/noticia/16040/economia/conozca-al-selecto-g-24-que-acompana-a-pedro-sanchez-en-el-avion-a-cuba.html" TargetMode="External"/><Relationship Id="rId2062" Type="http://schemas.openxmlformats.org/officeDocument/2006/relationships/hyperlink" Target="http://listas.20minutos.es/otros/" TargetMode="External"/><Relationship Id="rId3113" Type="http://schemas.openxmlformats.org/officeDocument/2006/relationships/hyperlink" Target="https://youtu.be/1XYgnixCpXs" TargetMode="External"/><Relationship Id="rId3558" Type="http://schemas.openxmlformats.org/officeDocument/2006/relationships/hyperlink" Target="https://pbs.twimg.com/media/DsmhOBPWkAAUHi9.jpg" TargetMode="External"/><Relationship Id="rId241" Type="http://schemas.openxmlformats.org/officeDocument/2006/relationships/hyperlink" Target="https://pbs.twimg.com/media/DssHCFXW0AAOEBZ.jpg" TargetMode="External"/><Relationship Id="rId479" Type="http://schemas.openxmlformats.org/officeDocument/2006/relationships/hyperlink" Target="http://www.abc.es/" TargetMode="External"/><Relationship Id="rId686" Type="http://schemas.openxmlformats.org/officeDocument/2006/relationships/hyperlink" Target="https://www.youtube.com/channel/UC20DXdqj2lqQbSIkqNj4ygg" TargetMode="External"/><Relationship Id="rId893" Type="http://schemas.openxmlformats.org/officeDocument/2006/relationships/hyperlink" Target="http://www.marbella24horas.es/local/el-mitin-de-pedro-sanchez-y-susana-diaz-en-marbella-cambia-de-dia-24029" TargetMode="External"/><Relationship Id="rId2367" Type="http://schemas.openxmlformats.org/officeDocument/2006/relationships/hyperlink" Target="http://bit.ly/2Kq0g8u" TargetMode="External"/><Relationship Id="rId2574" Type="http://schemas.openxmlformats.org/officeDocument/2006/relationships/hyperlink" Target="http://riazor.org/" TargetMode="External"/><Relationship Id="rId2781" Type="http://schemas.openxmlformats.org/officeDocument/2006/relationships/hyperlink" Target="https://www.elconfidencial.com/mundo/2018-11-22/gibraltar-may-espana-soberania-brexit_1663154/?utm_source=twitter&amp;utm_medium=social&amp;utm_campaign=BotoneraWeb" TargetMode="External"/><Relationship Id="rId3320" Type="http://schemas.openxmlformats.org/officeDocument/2006/relationships/hyperlink" Target="https://pbs.twimg.com/media/Dsm7xabVsAAteib.jpg" TargetMode="External"/><Relationship Id="rId3418" Type="http://schemas.openxmlformats.org/officeDocument/2006/relationships/hyperlink" Target="https://buff.ly/2MGS5Jh" TargetMode="External"/><Relationship Id="rId339" Type="http://schemas.openxmlformats.org/officeDocument/2006/relationships/hyperlink" Target="https://www.plannercongresos.com/" TargetMode="External"/><Relationship Id="rId546" Type="http://schemas.openxmlformats.org/officeDocument/2006/relationships/hyperlink" Target="https://pbs.twimg.com/media/Dsr3xQZVYAUHbaD.jpg" TargetMode="External"/><Relationship Id="rId753" Type="http://schemas.openxmlformats.org/officeDocument/2006/relationships/hyperlink" Target="http://bit.ly/EP_Venezuela" TargetMode="External"/><Relationship Id="rId1176" Type="http://schemas.openxmlformats.org/officeDocument/2006/relationships/hyperlink" Target="https://www.periodistadigital.com/periodismo/prensa/2018/11/23/escupitajo-elpais-oposicion-cubana-elogiando-pedro-sanchez-no-reuna-diaz-canel-brexit-gibraltar-borrell.shtml" TargetMode="External"/><Relationship Id="rId1383" Type="http://schemas.openxmlformats.org/officeDocument/2006/relationships/hyperlink" Target="http://bit.ly/2OYL4jg" TargetMode="External"/><Relationship Id="rId2227" Type="http://schemas.openxmlformats.org/officeDocument/2006/relationships/hyperlink" Target="https://ondabailen.es/2018/11/22/la-junta-felicita-a-pedro-sanchez-baga-exalumno-de-la-laguna-por-su-estrella-michelin-la-primera-de-la-provincia/" TargetMode="External"/><Relationship Id="rId2434" Type="http://schemas.openxmlformats.org/officeDocument/2006/relationships/hyperlink" Target="http://contafisca.es/" TargetMode="External"/><Relationship Id="rId2879" Type="http://schemas.openxmlformats.org/officeDocument/2006/relationships/hyperlink" Target="https://pbs.twimg.com/media/Dsnmbw-WsAMdvJ4.jpg" TargetMode="External"/><Relationship Id="rId101" Type="http://schemas.openxmlformats.org/officeDocument/2006/relationships/hyperlink" Target="https://750.am/" TargetMode="External"/><Relationship Id="rId406" Type="http://schemas.openxmlformats.org/officeDocument/2006/relationships/hyperlink" Target="https://pbs.twimg.com/media/DssBE34UUAA2Sxx.jpg" TargetMode="External"/><Relationship Id="rId960" Type="http://schemas.openxmlformats.org/officeDocument/2006/relationships/hyperlink" Target="http://www.elconfidencialdigital.com/" TargetMode="External"/><Relationship Id="rId1036" Type="http://schemas.openxmlformats.org/officeDocument/2006/relationships/hyperlink" Target="http://kurtzpensamientos.blogspot.com/" TargetMode="External"/><Relationship Id="rId1243" Type="http://schemas.openxmlformats.org/officeDocument/2006/relationships/hyperlink" Target="https://pbs.twimg.com/media/Dsqq1eSWkAA-ekH.jpg" TargetMode="External"/><Relationship Id="rId1590" Type="http://schemas.openxmlformats.org/officeDocument/2006/relationships/hyperlink" Target="https://twitter.com/albertofdezxbcn/status/1065658016580673536" TargetMode="External"/><Relationship Id="rId1688" Type="http://schemas.openxmlformats.org/officeDocument/2006/relationships/hyperlink" Target="http://www.cubatv.icrt.cu/" TargetMode="External"/><Relationship Id="rId1895" Type="http://schemas.openxmlformats.org/officeDocument/2006/relationships/hyperlink" Target="https://ift.tt/2TxOblP" TargetMode="External"/><Relationship Id="rId2641" Type="http://schemas.openxmlformats.org/officeDocument/2006/relationships/hyperlink" Target="https://pbs.twimg.com/media/Dsnpq-rWsAEOEqH.jpg" TargetMode="External"/><Relationship Id="rId2739" Type="http://schemas.openxmlformats.org/officeDocument/2006/relationships/hyperlink" Target="http://www.minrex.gob.cu/es/biografia-oficial-del-excmo-sr-pedro-sanchez-perez-castejon-presidente-del-gobierno-del-reino-de" TargetMode="External"/><Relationship Id="rId2946" Type="http://schemas.openxmlformats.org/officeDocument/2006/relationships/hyperlink" Target="http://bit.ly/2Qg4UuV" TargetMode="External"/><Relationship Id="rId613" Type="http://schemas.openxmlformats.org/officeDocument/2006/relationships/hyperlink" Target="http://www.elcorreo.com/" TargetMode="External"/><Relationship Id="rId820" Type="http://schemas.openxmlformats.org/officeDocument/2006/relationships/hyperlink" Target="https://mundo.sputniknews.com/americalatina/201811211083595450-como-influira-la-visita-de-pedro-sanchez-a-cuba/" TargetMode="External"/><Relationship Id="rId918" Type="http://schemas.openxmlformats.org/officeDocument/2006/relationships/hyperlink" Target="https://www.periodistadigital.com/politica/gobierno/2018/11/23/el-ridiculo-del-inepto-pedro-sanchez-ante-theresa-may-y-su-venganza-por-gibraltar.shtml" TargetMode="External"/><Relationship Id="rId1450" Type="http://schemas.openxmlformats.org/officeDocument/2006/relationships/hyperlink" Target="http://noticiasvenezuela.org/" TargetMode="External"/><Relationship Id="rId1548" Type="http://schemas.openxmlformats.org/officeDocument/2006/relationships/hyperlink" Target="https://pbs.twimg.com/media/Dspwy1bWwAAPBUg.jpg" TargetMode="External"/><Relationship Id="rId1755" Type="http://schemas.openxmlformats.org/officeDocument/2006/relationships/hyperlink" Target="https://pbs.twimg.com/media/DspUoXrU4AEhm_k.jpg" TargetMode="External"/><Relationship Id="rId2501" Type="http://schemas.openxmlformats.org/officeDocument/2006/relationships/hyperlink" Target="https://youtu.be/cqZc7ZQURMs" TargetMode="External"/><Relationship Id="rId1103" Type="http://schemas.openxmlformats.org/officeDocument/2006/relationships/hyperlink" Target="http://www.elperiodico.com/" TargetMode="External"/><Relationship Id="rId1310" Type="http://schemas.openxmlformats.org/officeDocument/2006/relationships/hyperlink" Target="http://teamunidos.blogspot.com/" TargetMode="External"/><Relationship Id="rId1408" Type="http://schemas.openxmlformats.org/officeDocument/2006/relationships/hyperlink" Target="http://www.elestimulo.com/" TargetMode="External"/><Relationship Id="rId1962" Type="http://schemas.openxmlformats.org/officeDocument/2006/relationships/hyperlink" Target="https://www.elmundo.es/andalucia/2018/11/22/5bf70d0d22601df1438b45d8.html" TargetMode="External"/><Relationship Id="rId2806" Type="http://schemas.openxmlformats.org/officeDocument/2006/relationships/hyperlink" Target="https://noticierouniversal.com/destacadas/pedro-sanchez-nieto-de-militar/" TargetMode="External"/><Relationship Id="rId47" Type="http://schemas.openxmlformats.org/officeDocument/2006/relationships/hyperlink" Target="https://pbs.twimg.com/media/Dssh9l6VsAACxPL.jpg" TargetMode="External"/><Relationship Id="rId1615" Type="http://schemas.openxmlformats.org/officeDocument/2006/relationships/hyperlink" Target="https://www.abc.es/internacional/abci-damas-blanco-piden-pedro-sanchez-reuna-oposicion-durante-viaje-cuba-201811202120_noticia.html" TargetMode="External"/><Relationship Id="rId1822" Type="http://schemas.openxmlformats.org/officeDocument/2006/relationships/hyperlink" Target="http://nuevarevolucion.es/" TargetMode="External"/><Relationship Id="rId3068" Type="http://schemas.openxmlformats.org/officeDocument/2006/relationships/hyperlink" Target="https://twitter.com/DiazCanelB/status/1065317048702697472" TargetMode="External"/><Relationship Id="rId3275" Type="http://schemas.openxmlformats.org/officeDocument/2006/relationships/hyperlink" Target="https://elobrero.es/" TargetMode="External"/><Relationship Id="rId3482" Type="http://schemas.openxmlformats.org/officeDocument/2006/relationships/hyperlink" Target="https://pbs.twimg.com/media/Dsmm-GpWkAEVLtp.jpg" TargetMode="External"/><Relationship Id="rId196" Type="http://schemas.openxmlformats.org/officeDocument/2006/relationships/hyperlink" Target="https://pbs.twimg.com/media/DssS9rJWoAASO7P.jpg" TargetMode="External"/><Relationship Id="rId2084" Type="http://schemas.openxmlformats.org/officeDocument/2006/relationships/hyperlink" Target="http://eldiario.es/" TargetMode="External"/><Relationship Id="rId2291" Type="http://schemas.openxmlformats.org/officeDocument/2006/relationships/hyperlink" Target="http://www.venceremos.cu/guantanamo-cuba-noticias-nacionales/15579-llegara-hoy-a-cuba-pedro-sanchez-presidente-del-gobierno-de-espana" TargetMode="External"/><Relationship Id="rId3135" Type="http://schemas.openxmlformats.org/officeDocument/2006/relationships/hyperlink" Target="http://www.gppopular.es/" TargetMode="External"/><Relationship Id="rId3342" Type="http://schemas.openxmlformats.org/officeDocument/2006/relationships/hyperlink" Target="http://latlaxiaquena.myl2mr.com/" TargetMode="External"/><Relationship Id="rId263" Type="http://schemas.openxmlformats.org/officeDocument/2006/relationships/hyperlink" Target="https://www.eldiario.es/_32001629" TargetMode="External"/><Relationship Id="rId470" Type="http://schemas.openxmlformats.org/officeDocument/2006/relationships/hyperlink" Target="https://pbs.twimg.com/media/Dsr71YxXcAAywOv.jpg" TargetMode="External"/><Relationship Id="rId2151" Type="http://schemas.openxmlformats.org/officeDocument/2006/relationships/hyperlink" Target="https://nuevarevolucion.es/pedro-sanchez-el-paso-atras-de-la-izquierda/" TargetMode="External"/><Relationship Id="rId2389" Type="http://schemas.openxmlformats.org/officeDocument/2006/relationships/hyperlink" Target="http://clementepolo.wordpress.com/" TargetMode="External"/><Relationship Id="rId2596" Type="http://schemas.openxmlformats.org/officeDocument/2006/relationships/hyperlink" Target="http://www.pilaraymara.com/" TargetMode="External"/><Relationship Id="rId3202" Type="http://schemas.openxmlformats.org/officeDocument/2006/relationships/hyperlink" Target="https://elpais.com/politica/2018/11/21/actualidad/1542810485_448113.html?id_externo_rsoc=TW_CC" TargetMode="External"/><Relationship Id="rId123" Type="http://schemas.openxmlformats.org/officeDocument/2006/relationships/hyperlink" Target="http://theobjective.com/" TargetMode="External"/><Relationship Id="rId330" Type="http://schemas.openxmlformats.org/officeDocument/2006/relationships/hyperlink" Target="http://dsmrq.es/rcd26888" TargetMode="External"/><Relationship Id="rId568" Type="http://schemas.openxmlformats.org/officeDocument/2006/relationships/hyperlink" Target="https://es.euronews.com/2018/11/23/pedro-sanchez-en-cuba-un-viaje-sin-precendentes-en-tres-decadas" TargetMode="External"/><Relationship Id="rId775" Type="http://schemas.openxmlformats.org/officeDocument/2006/relationships/hyperlink" Target="https://www.revistavanityfair.es/poder/articulos/reina-sofia-con-ana-botella-local-clandestino-viaje-a-cuba-la-habana-visita-pedro-sanchez-fidel-castro-reyes-espana/34800" TargetMode="External"/><Relationship Id="rId982" Type="http://schemas.openxmlformats.org/officeDocument/2006/relationships/hyperlink" Target="https://okdiario.com/espana/2018/11/23/gobierno-elige-separatista-terribas-moderar-debate-sobre-40-anos-constitucion-3381573/amp" TargetMode="External"/><Relationship Id="rId1198" Type="http://schemas.openxmlformats.org/officeDocument/2006/relationships/hyperlink" Target="https://www.facebook.com/427923557251120/posts/2085082568201869/" TargetMode="External"/><Relationship Id="rId2011" Type="http://schemas.openxmlformats.org/officeDocument/2006/relationships/hyperlink" Target="https://www.20minutos.es/noticia/3499196/0/24-empresas-negocio-pedro-sanchez-cuba-poscastrista-visita/" TargetMode="External"/><Relationship Id="rId2249" Type="http://schemas.openxmlformats.org/officeDocument/2006/relationships/hyperlink" Target="https://estoesvallekas.wixsite.com/anuncios" TargetMode="External"/><Relationship Id="rId2456" Type="http://schemas.openxmlformats.org/officeDocument/2006/relationships/hyperlink" Target="http://bit.ly/2zm4NUR" TargetMode="External"/><Relationship Id="rId2663" Type="http://schemas.openxmlformats.org/officeDocument/2006/relationships/hyperlink" Target="http://bit.ly/2OV1OYJ" TargetMode="External"/><Relationship Id="rId2870" Type="http://schemas.openxmlformats.org/officeDocument/2006/relationships/hyperlink" Target="https://www.elmundo.es/internacional/2018/11/22/5bf6b01b468aeb352a8b463a.html" TargetMode="External"/><Relationship Id="rId3507" Type="http://schemas.openxmlformats.org/officeDocument/2006/relationships/hyperlink" Target="http://www.elmundo.es/baleares.html" TargetMode="External"/><Relationship Id="rId428" Type="http://schemas.openxmlformats.org/officeDocument/2006/relationships/hyperlink" Target="https://pbs.twimg.com/media/DssAwoHXgAAf0_O.jpg" TargetMode="External"/><Relationship Id="rId635" Type="http://schemas.openxmlformats.org/officeDocument/2006/relationships/hyperlink" Target="https://www.economiadigital.es/politica-y-sociedad/el-ibex-senala-el-fin-del-gobierno-de-pedro-sanchez_590507_102.html" TargetMode="External"/><Relationship Id="rId842" Type="http://schemas.openxmlformats.org/officeDocument/2006/relationships/hyperlink" Target="https://www.elespanol.com/opinion/tribunas/20181123/carta-abierta-cubano-pedro-sanchez/355334465_12.html" TargetMode="External"/><Relationship Id="rId1058" Type="http://schemas.openxmlformats.org/officeDocument/2006/relationships/hyperlink" Target="http://www.cambio16.com/" TargetMode="External"/><Relationship Id="rId1265" Type="http://schemas.openxmlformats.org/officeDocument/2006/relationships/hyperlink" Target="https://www.elespanol.com/opinion/tribunas/20181123/carta-abierta-cubano-pedro-sanchez/355334465_12.html" TargetMode="External"/><Relationship Id="rId1472" Type="http://schemas.openxmlformats.org/officeDocument/2006/relationships/hyperlink" Target="https://twitter.com/vijiljosefina/status/1063634090535120896" TargetMode="External"/><Relationship Id="rId2109" Type="http://schemas.openxmlformats.org/officeDocument/2006/relationships/hyperlink" Target="http://www.rtve.es/alacarta/audios/cinco-continentes/" TargetMode="External"/><Relationship Id="rId2316" Type="http://schemas.openxmlformats.org/officeDocument/2006/relationships/hyperlink" Target="http://bit.ly/2r18zOX" TargetMode="External"/><Relationship Id="rId2523" Type="http://schemas.openxmlformats.org/officeDocument/2006/relationships/hyperlink" Target="https://elpais.com/politica/2018/11/22/actualidad/1542900206_207288.html" TargetMode="External"/><Relationship Id="rId2730"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968" Type="http://schemas.openxmlformats.org/officeDocument/2006/relationships/hyperlink" Target="https://www.elconfidencial.com/espana/cataluna/2018-11-21/erc-pide-pedro-sanchez-evite-elecciones_1658806/?utm_source=twitter&amp;utm_medium=social&amp;utm_campaign=BotoneraWeb" TargetMode="External"/><Relationship Id="rId702" Type="http://schemas.openxmlformats.org/officeDocument/2006/relationships/hyperlink" Target="https://www.economiadigital.es/politica-y-sociedad/el-ibex-senala-el-fin-del-gobierno-de-pedro-sanchez_590507_102.html" TargetMode="External"/><Relationship Id="rId1125" Type="http://schemas.openxmlformats.org/officeDocument/2006/relationships/hyperlink" Target="https://www.mallorcadiario.com/noticia/527416/el-otono-de-pedro-sanchez.html" TargetMode="External"/><Relationship Id="rId1332" Type="http://schemas.openxmlformats.org/officeDocument/2006/relationships/hyperlink" Target="https://www.elmundo.es/espana/2018/11/23/5bf71d09268e3e4c198b460f.html" TargetMode="External"/><Relationship Id="rId1777" Type="http://schemas.openxmlformats.org/officeDocument/2006/relationships/hyperlink" Target="https://pbs.twimg.com/media/Dsox0V7WkAA8IRM.jpg" TargetMode="External"/><Relationship Id="rId1984" Type="http://schemas.openxmlformats.org/officeDocument/2006/relationships/hyperlink" Target="https://m.eldiario.es/_31d55cf9" TargetMode="External"/><Relationship Id="rId2828" Type="http://schemas.openxmlformats.org/officeDocument/2006/relationships/hyperlink" Target="http://www.cmhw.cu/" TargetMode="External"/><Relationship Id="rId69" Type="http://schemas.openxmlformats.org/officeDocument/2006/relationships/hyperlink" Target="http://epmundo.com/" TargetMode="External"/><Relationship Id="rId1637" Type="http://schemas.openxmlformats.org/officeDocument/2006/relationships/hyperlink" Target="https://wp.me/p26M0z-BSk" TargetMode="External"/><Relationship Id="rId1844" Type="http://schemas.openxmlformats.org/officeDocument/2006/relationships/hyperlink" Target="http://noticiasvenezuela.org/" TargetMode="External"/><Relationship Id="rId3297" Type="http://schemas.openxmlformats.org/officeDocument/2006/relationships/hyperlink" Target="https://pbs.twimg.com/media/Dsm9sXDVYAEpLi6.jpg" TargetMode="External"/><Relationship Id="rId1704" Type="http://schemas.openxmlformats.org/officeDocument/2006/relationships/hyperlink" Target="http://www.cubahora.cu/" TargetMode="External"/><Relationship Id="rId3157" Type="http://schemas.openxmlformats.org/officeDocument/2006/relationships/hyperlink" Target="https://pbs.twimg.com/media/DsnNm7VUcAEUisw.jpg" TargetMode="External"/><Relationship Id="rId285" Type="http://schemas.openxmlformats.org/officeDocument/2006/relationships/hyperlink" Target="https://www.ciudadanos-cs.org/" TargetMode="External"/><Relationship Id="rId1911" Type="http://schemas.openxmlformats.org/officeDocument/2006/relationships/hyperlink" Target="https://pbs.twimg.com/media/DspE-D8UwAA_gao.jpg" TargetMode="External"/><Relationship Id="rId3364" Type="http://schemas.openxmlformats.org/officeDocument/2006/relationships/hyperlink" Target="http://www.granma.cu/" TargetMode="External"/><Relationship Id="rId3571" Type="http://schemas.openxmlformats.org/officeDocument/2006/relationships/hyperlink" Target="http://www.que.es/" TargetMode="External"/><Relationship Id="rId492" Type="http://schemas.openxmlformats.org/officeDocument/2006/relationships/hyperlink" Target="https://pbs.twimg.com/media/Dsr6KsOX4AIvUNs.jpg" TargetMode="External"/><Relationship Id="rId797" Type="http://schemas.openxmlformats.org/officeDocument/2006/relationships/hyperlink" Target="https://ift.tt/2BtbpCv" TargetMode="External"/><Relationship Id="rId2173" Type="http://schemas.openxmlformats.org/officeDocument/2006/relationships/hyperlink" Target="https://www.periodistadigital.com/periodismo/tv/2018/11/22/ferreras-jefe-de-prensa-pedro-sanchez-rafa-hernando-gobierno-pp-borrell.shtml" TargetMode="External"/><Relationship Id="rId2380" Type="http://schemas.openxmlformats.org/officeDocument/2006/relationships/hyperlink" Target="https://pbs.twimg.com/media/DsoXq_qWkAAjaHg.jpg" TargetMode="External"/><Relationship Id="rId2478" Type="http://schemas.openxmlformats.org/officeDocument/2006/relationships/hyperlink" Target="http://www.despiertainfo.com/2018/11/20/pedro-sanchez-visita-la-tumba-del-dictador-mohamed-v/" TargetMode="External"/><Relationship Id="rId3017" Type="http://schemas.openxmlformats.org/officeDocument/2006/relationships/hyperlink" Target="http://esradio.libertaddigital.com/es-la-tarde-de-dieter/" TargetMode="External"/><Relationship Id="rId3224" Type="http://schemas.openxmlformats.org/officeDocument/2006/relationships/hyperlink" Target="https://elpais.com/politica/2018/11/21/actualidad/1542810485_448113.html" TargetMode="External"/><Relationship Id="rId3431" Type="http://schemas.openxmlformats.org/officeDocument/2006/relationships/hyperlink" Target="https://twitter.com/5observador90/status/1065317616796008449" TargetMode="External"/><Relationship Id="rId145" Type="http://schemas.openxmlformats.org/officeDocument/2006/relationships/hyperlink" Target="https://www.vtactual.com/es/" TargetMode="External"/><Relationship Id="rId352" Type="http://schemas.openxmlformats.org/officeDocument/2006/relationships/hyperlink" Target="http://pic.twitter.com/viVVTPwdNB" TargetMode="External"/><Relationship Id="rId1287" Type="http://schemas.openxmlformats.org/officeDocument/2006/relationships/hyperlink" Target="https://www.eldiario.es/zonacritica/Pedro-Sanchez-estropeado-experimento_6_838226218.html" TargetMode="External"/><Relationship Id="rId2033" Type="http://schemas.openxmlformats.org/officeDocument/2006/relationships/hyperlink" Target="https://pbs.twimg.com/media/Dso7s61U8AAQ6Sk.jpg" TargetMode="External"/><Relationship Id="rId2240" Type="http://schemas.openxmlformats.org/officeDocument/2006/relationships/hyperlink" Target="http://www.myb.jovenclub.cu/" TargetMode="External"/><Relationship Id="rId2685" Type="http://schemas.openxmlformats.org/officeDocument/2006/relationships/hyperlink" Target="http://www.cope.es/valladolid" TargetMode="External"/><Relationship Id="rId2892" Type="http://schemas.openxmlformats.org/officeDocument/2006/relationships/hyperlink" Target="http://www.americahoy.net/" TargetMode="External"/><Relationship Id="rId3529" Type="http://schemas.openxmlformats.org/officeDocument/2006/relationships/hyperlink" Target="http://www.cidob.org/" TargetMode="External"/><Relationship Id="rId212" Type="http://schemas.openxmlformats.org/officeDocument/2006/relationships/hyperlink" Target="http://mirentxucacharron.blogspot.com.es/" TargetMode="External"/><Relationship Id="rId657" Type="http://schemas.openxmlformats.org/officeDocument/2006/relationships/hyperlink" Target="https://goo.gl/Ma2QMV" TargetMode="External"/><Relationship Id="rId864" Type="http://schemas.openxmlformats.org/officeDocument/2006/relationships/hyperlink" Target="https://cubanoti.com/2018/11/23/pedro-sanchez-llega-a-la-habana-para-su-encuentro-con-diaz-canel/" TargetMode="External"/><Relationship Id="rId1494" Type="http://schemas.openxmlformats.org/officeDocument/2006/relationships/hyperlink" Target="http://periodismovivo.com.ar/mas-noticias/pedro-sanchez-viajo-a-cuba-para-una-historica-visita-y-se-reunira-con-diaz-canel-telam-00178336.html?utm_campaign=twitter&amp;utm_medium=twitter&amp;utm_source=twitter" TargetMode="External"/><Relationship Id="rId1799" Type="http://schemas.openxmlformats.org/officeDocument/2006/relationships/hyperlink" Target="http://lapatilla.com/" TargetMode="External"/><Relationship Id="rId2100" Type="http://schemas.openxmlformats.org/officeDocument/2006/relationships/hyperlink" Target="https://www.elindependiente.com/politica/2018/11/22/sanchez-gibraltar-no-cambios-vetaremos-brexit/?utm_source=share_buttons&amp;utm_medium=twitter&amp;utm_campaign=social_share" TargetMode="External"/><Relationship Id="rId2338" Type="http://schemas.openxmlformats.org/officeDocument/2006/relationships/hyperlink" Target="https://pbs.twimg.com/media/DsobmvPWkAA4sC4.jpg" TargetMode="External"/><Relationship Id="rId2545" Type="http://schemas.openxmlformats.org/officeDocument/2006/relationships/hyperlink" Target="http://radiomallorca.es/" TargetMode="External"/><Relationship Id="rId2752" Type="http://schemas.openxmlformats.org/officeDocument/2006/relationships/hyperlink" Target="http://www.periodistadigital.com/" TargetMode="External"/><Relationship Id="rId517" Type="http://schemas.openxmlformats.org/officeDocument/2006/relationships/hyperlink" Target="http://ver.20m.es/lqwhq" TargetMode="External"/><Relationship Id="rId724" Type="http://schemas.openxmlformats.org/officeDocument/2006/relationships/hyperlink" Target="https://nuevarevolucion.es/pedro-sanchez-el-paso-atras-de-la-izquierda/" TargetMode="External"/><Relationship Id="rId931" Type="http://schemas.openxmlformats.org/officeDocument/2006/relationships/hyperlink" Target="http://www.lasexta.com/noticias/" TargetMode="External"/><Relationship Id="rId1147" Type="http://schemas.openxmlformats.org/officeDocument/2006/relationships/hyperlink" Target="https://pbs.twimg.com/media/Dsq6-MxXgAAsFB6.jpg" TargetMode="External"/><Relationship Id="rId1354" Type="http://schemas.openxmlformats.org/officeDocument/2006/relationships/hyperlink" Target="https://elcorreodepozuelo.com/2018/11/23/desprestigio-de-espana-la-obsesion-de-pedro-sanchez-por-dar-titulares-le-lleva-a-hacer-el-ridiculo-al-proponer-un-mundial-de-futbol-a-marruecos-en-el-que-tambien-participaria-portugal/" TargetMode="External"/><Relationship Id="rId1561" Type="http://schemas.openxmlformats.org/officeDocument/2006/relationships/hyperlink" Target="http://arturoasas.blogspot.com/" TargetMode="External"/><Relationship Id="rId2405" Type="http://schemas.openxmlformats.org/officeDocument/2006/relationships/hyperlink" Target="https://twitter.com/albert_rivera/status/1065600760770105344" TargetMode="External"/><Relationship Id="rId2612" Type="http://schemas.openxmlformats.org/officeDocument/2006/relationships/hyperlink" Target="https://www.elmundo.es/espana/2018/11/21/5bf5ab23e2704ea02f8b4581.html" TargetMode="External"/><Relationship Id="rId60" Type="http://schemas.openxmlformats.org/officeDocument/2006/relationships/hyperlink" Target="https://gaceta.es/mundo/pedro-sanchez-propone-la-visita-de-los-reyes-a-cuba-en-2019-20181123-1014/" TargetMode="External"/><Relationship Id="rId1007" Type="http://schemas.openxmlformats.org/officeDocument/2006/relationships/hyperlink" Target="https://www.abc.es/espana/comunidad-valenciana/abci-y-super-domingo-ximo-puig-201811222338_noticia.html" TargetMode="External"/><Relationship Id="rId1214" Type="http://schemas.openxmlformats.org/officeDocument/2006/relationships/hyperlink" Target="https://www.facebook.com/profile.php?id=1008330925" TargetMode="External"/><Relationship Id="rId1421" Type="http://schemas.openxmlformats.org/officeDocument/2006/relationships/hyperlink" Target="https://pbs.twimg.com/media/DsqGVxrVYAE-Nb1.jpg" TargetMode="External"/><Relationship Id="rId1659" Type="http://schemas.openxmlformats.org/officeDocument/2006/relationships/hyperlink" Target="https://youtu.be/hZ_girLE2RY" TargetMode="External"/><Relationship Id="rId1866" Type="http://schemas.openxmlformats.org/officeDocument/2006/relationships/hyperlink" Target="http://www.radiotaino.icrt.cu/" TargetMode="External"/><Relationship Id="rId2917" Type="http://schemas.openxmlformats.org/officeDocument/2006/relationships/hyperlink" Target="http://www.eleconomista.es/" TargetMode="External"/><Relationship Id="rId3081" Type="http://schemas.openxmlformats.org/officeDocument/2006/relationships/hyperlink" Target="https://drive.google.com/file/d/16TS16Ks2sT1ctbdnVMkfMvkTEUdDVNs0/view" TargetMode="External"/><Relationship Id="rId1519" Type="http://schemas.openxmlformats.org/officeDocument/2006/relationships/hyperlink" Target="http://shr.gs/yxscKOm" TargetMode="External"/><Relationship Id="rId1726" Type="http://schemas.openxmlformats.org/officeDocument/2006/relationships/hyperlink" Target="http://www.jornada.com.mx/ultimas/2018/11/22/llega-pedro-sanchez-a-cuba-en-historica-visita-9864.html" TargetMode="External"/><Relationship Id="rId1933" Type="http://schemas.openxmlformats.org/officeDocument/2006/relationships/hyperlink" Target="http://isb.gs/OUKvqE" TargetMode="External"/><Relationship Id="rId3179" Type="http://schemas.openxmlformats.org/officeDocument/2006/relationships/hyperlink" Target="http://pic.twitter.com/dV9xJw28g8" TargetMode="External"/><Relationship Id="rId3386" Type="http://schemas.openxmlformats.org/officeDocument/2006/relationships/hyperlink" Target="https://www.elmundo.es/madrid/2018/11/22/5bf68116e5fdeaa0398b46b3.html" TargetMode="External"/><Relationship Id="rId18" Type="http://schemas.openxmlformats.org/officeDocument/2006/relationships/hyperlink" Target="https://es.euronews.com/2018/11/23/pedro-sanchez-en-cuba-un-viaje-sin-precendentes-en-tres-decadas" TargetMode="External"/><Relationship Id="rId2195" Type="http://schemas.openxmlformats.org/officeDocument/2006/relationships/hyperlink" Target="https://pbs.twimg.com/media/DsormogUwAAcMTW.jpg" TargetMode="External"/><Relationship Id="rId3039" Type="http://schemas.openxmlformats.org/officeDocument/2006/relationships/hyperlink" Target="https://www.elconfidencial.com/empresas/2018-11-21/pedro-sanchez-bankia-publica_1659242/" TargetMode="External"/><Relationship Id="rId3246" Type="http://schemas.openxmlformats.org/officeDocument/2006/relationships/hyperlink" Target="http://www.slaymultimedios.com/" TargetMode="External"/><Relationship Id="rId3453" Type="http://schemas.openxmlformats.org/officeDocument/2006/relationships/hyperlink" Target="https://eltronodefroilan.wordpress.com/" TargetMode="External"/><Relationship Id="rId167" Type="http://schemas.openxmlformats.org/officeDocument/2006/relationships/hyperlink" Target="http://bit.ly/2FG782D" TargetMode="External"/><Relationship Id="rId374" Type="http://schemas.openxmlformats.org/officeDocument/2006/relationships/hyperlink" Target="http://estudioslatinoseiberoamericanos.wordpress.com/" TargetMode="External"/><Relationship Id="rId581" Type="http://schemas.openxmlformats.org/officeDocument/2006/relationships/hyperlink" Target="http://ow.ly/zhq930mIWC7" TargetMode="External"/><Relationship Id="rId2055" Type="http://schemas.openxmlformats.org/officeDocument/2006/relationships/hyperlink" Target="https://www.elindependiente.com/politica/2018/11/22/sanchez-gibraltar-no-cambios-vetaremos-brexit/?utm_source=share_buttons&amp;utm_medium=twitter&amp;utm_campaign=social_share" TargetMode="External"/><Relationship Id="rId2262" Type="http://schemas.openxmlformats.org/officeDocument/2006/relationships/hyperlink" Target="http://pic.twitter.com/E1szG71ueb" TargetMode="External"/><Relationship Id="rId3106" Type="http://schemas.openxmlformats.org/officeDocument/2006/relationships/hyperlink" Target="https://pbs.twimg.com/media/DsnREYWVYAAFuLV.jpg" TargetMode="External"/><Relationship Id="rId234" Type="http://schemas.openxmlformats.org/officeDocument/2006/relationships/hyperlink" Target="http://ociososmadrid.blogspot.com/" TargetMode="External"/><Relationship Id="rId679" Type="http://schemas.openxmlformats.org/officeDocument/2006/relationships/hyperlink" Target="http://espana.abc.es/qr6_a1" TargetMode="External"/><Relationship Id="rId886" Type="http://schemas.openxmlformats.org/officeDocument/2006/relationships/hyperlink" Target="https://www.abc.es/espana/abci-jose-daniel-ferrer-posible-liberen-presos-para-decir-visita-pedro-sanchez-cuba-sido-exito-201811230406_noticia.html" TargetMode="External"/><Relationship Id="rId2567" Type="http://schemas.openxmlformats.org/officeDocument/2006/relationships/hyperlink" Target="http://pic.twitter.com/M889bFVHht" TargetMode="External"/><Relationship Id="rId2774" Type="http://schemas.openxmlformats.org/officeDocument/2006/relationships/hyperlink" Target="http://bit.ly/2AdPk8Z" TargetMode="External"/><Relationship Id="rId3313" Type="http://schemas.openxmlformats.org/officeDocument/2006/relationships/hyperlink" Target="http://youtu.be/OBEluUwFIu0?a" TargetMode="External"/><Relationship Id="rId3520" Type="http://schemas.openxmlformats.org/officeDocument/2006/relationships/hyperlink" Target="http://bit.ly/2Qcq1y5" TargetMode="External"/><Relationship Id="rId2" Type="http://schemas.openxmlformats.org/officeDocument/2006/relationships/hyperlink" Target="https://pbs.twimg.com/media/Dssmw-QXgAAUg0j.jpg" TargetMode="External"/><Relationship Id="rId441" Type="http://schemas.openxmlformats.org/officeDocument/2006/relationships/hyperlink" Target="http://www.uruguayaltoque.uy/" TargetMode="External"/><Relationship Id="rId539" Type="http://schemas.openxmlformats.org/officeDocument/2006/relationships/hyperlink" Target="https://www.elplural.com/politica/exteriores-aclara-que-el-anuncio-hecho-por-gibraltar-no-se-refiere-a-un-acuerdo-sobre-el-brexit_206883102" TargetMode="External"/><Relationship Id="rId746" Type="http://schemas.openxmlformats.org/officeDocument/2006/relationships/hyperlink" Target="https://asociacionail.com/palabras-del-presidente-de-ail-sobre-la-visita-de-pedro-sanchez-a-cuba/" TargetMode="External"/><Relationship Id="rId1071" Type="http://schemas.openxmlformats.org/officeDocument/2006/relationships/hyperlink" Target="https://www.meneame.net/story/pedro-sanchez-no-hay-cambios-vetaremos-brexit" TargetMode="External"/><Relationship Id="rId1169" Type="http://schemas.openxmlformats.org/officeDocument/2006/relationships/hyperlink" Target="http://teamunidos.blogspot.com/" TargetMode="External"/><Relationship Id="rId1376" Type="http://schemas.openxmlformats.org/officeDocument/2006/relationships/hyperlink" Target="http://www.frontera.info/" TargetMode="External"/><Relationship Id="rId1583" Type="http://schemas.openxmlformats.org/officeDocument/2006/relationships/hyperlink" Target="https://www.facebook.com/Radiocuervouruguay/photos/a.652598391502983/1930867403676069/?type=3&amp;__xts__%5B0%5D=68.ARCy3eopUkE9agJHTWmt5CCMApCjGOgwy2-w-hgssa9uqUiCfookAsdE0nfi4WGe7A43gCLlhDThTp7xF9ynXfWZ_-C9CUuAHuSMackhjtXXPdHDeZsdFOQp-OTkIR3f8M5plP1XG6R3lKWZfIcr-VVorUvdajCva-mOUsnvfqzSnhAp1DhZFtlFmVbosDKJt2H7c2JWm56Ekm8rwgeNmWKaNm7EnMJbD7ioGoJ1m16syO_yZg5MFP1p28ImEouKXByacV5OffWNJW7XDATsaG4XJ4RhraYpWNRz8MHSRMxtLmJhnJX1QsN2STJ1X7Y0FsGWrHht7XYBzYcIPr2EgY97NA&amp;__tn__=-R" TargetMode="External"/><Relationship Id="rId2122" Type="http://schemas.openxmlformats.org/officeDocument/2006/relationships/hyperlink" Target="https://www.elconfidencial.com/espana/2018-11-22/telefonica-iberia-air-europa-ceo-empresas-pedro-sanchez-cuba_1663690/" TargetMode="External"/><Relationship Id="rId2427" Type="http://schemas.openxmlformats.org/officeDocument/2006/relationships/hyperlink" Target="https://nuevarevolucion.es/pedro-sanchez-el-paso-atras-de-la-izquierda/" TargetMode="External"/><Relationship Id="rId2981" Type="http://schemas.openxmlformats.org/officeDocument/2006/relationships/hyperlink" Target="http://dlvr.it/QrsJQ1" TargetMode="External"/><Relationship Id="rId301" Type="http://schemas.openxmlformats.org/officeDocument/2006/relationships/hyperlink" Target="http://www.radioflorida.icrt.cu/" TargetMode="External"/><Relationship Id="rId953" Type="http://schemas.openxmlformats.org/officeDocument/2006/relationships/hyperlink" Target="https://www.lavanguardia.com/politica/20181123/453103126896/organizacion-mundial-tortura-liberar-inmediatamente-jordi-cuixart-jordi-sanchez.html?utm_source=twitter_lv&amp;utm_medium=social" TargetMode="External"/><Relationship Id="rId1029" Type="http://schemas.openxmlformats.org/officeDocument/2006/relationships/hyperlink" Target="https://www.elespanol.com/opinion/tribunas/20181123/carta-abierta-cubano-pedro-sanchez/355334465_12.html" TargetMode="External"/><Relationship Id="rId1236" Type="http://schemas.openxmlformats.org/officeDocument/2006/relationships/hyperlink" Target="https://www.eldiario.es/_31fac103" TargetMode="External"/><Relationship Id="rId1790" Type="http://schemas.openxmlformats.org/officeDocument/2006/relationships/hyperlink" Target="http://pic.twitter.com/pjmMRsr1iw" TargetMode="External"/><Relationship Id="rId1888" Type="http://schemas.openxmlformats.org/officeDocument/2006/relationships/hyperlink" Target="https://www.periodistadigital.com/periodismo/tv/2018/11/22/ferreras-jefe-de-prensa-pedro-sanchez-rafa-hernando-gobierno-pp-borrell.shtml" TargetMode="External"/><Relationship Id="rId2634" Type="http://schemas.openxmlformats.org/officeDocument/2006/relationships/hyperlink" Target="http://lajornadasanluis.com.mx/seccion/opinion/israel-lopez-monsivais/" TargetMode="External"/><Relationship Id="rId2841" Type="http://schemas.openxmlformats.org/officeDocument/2006/relationships/hyperlink" Target="http://letracursivacornelia.blogspot.com.es/" TargetMode="External"/><Relationship Id="rId2939" Type="http://schemas.openxmlformats.org/officeDocument/2006/relationships/hyperlink" Target="https://cnn.it/2DSnnIj" TargetMode="External"/><Relationship Id="rId82" Type="http://schemas.openxmlformats.org/officeDocument/2006/relationships/hyperlink" Target="http://webregistradalaquetengoaquicolgada.com/" TargetMode="External"/><Relationship Id="rId606" Type="http://schemas.openxmlformats.org/officeDocument/2006/relationships/hyperlink" Target="https://okdiario.com/economia/empresas/2018/11/23/sanchez-premia-constructora-investigada-caso-acuamed-lleva-avion-cuba-3380485" TargetMode="External"/><Relationship Id="rId813" Type="http://schemas.openxmlformats.org/officeDocument/2006/relationships/hyperlink" Target="http://elpais.com/diario/2011/06/19/domingo/1308455554_850215.html" TargetMode="External"/><Relationship Id="rId1443" Type="http://schemas.openxmlformats.org/officeDocument/2006/relationships/hyperlink" Target="https://ift.tt/2S5nXWb" TargetMode="External"/><Relationship Id="rId1650" Type="http://schemas.openxmlformats.org/officeDocument/2006/relationships/hyperlink" Target="http://bit.ly/2Ad4Zpa" TargetMode="External"/><Relationship Id="rId1748" Type="http://schemas.openxmlformats.org/officeDocument/2006/relationships/hyperlink" Target="https://pbs.twimg.com/media/DspTqkUVsAA7sp2.jpg" TargetMode="External"/><Relationship Id="rId2701" Type="http://schemas.openxmlformats.org/officeDocument/2006/relationships/hyperlink" Target="http://ow.ly/UUDt30mIw1y" TargetMode="External"/><Relationship Id="rId1303" Type="http://schemas.openxmlformats.org/officeDocument/2006/relationships/hyperlink" Target="http://www.sumarium.es/" TargetMode="External"/><Relationship Id="rId1510" Type="http://schemas.openxmlformats.org/officeDocument/2006/relationships/hyperlink" Target="http://www.estoescuba.eu/" TargetMode="External"/><Relationship Id="rId1955" Type="http://schemas.openxmlformats.org/officeDocument/2006/relationships/hyperlink" Target="http://www.rtve.es/television/lanocheen24horas/" TargetMode="External"/><Relationship Id="rId3170" Type="http://schemas.openxmlformats.org/officeDocument/2006/relationships/hyperlink" Target="https://www.elmundo.es/internacional/2018/11/22/5bf6b01b468aeb352a8b463a.html" TargetMode="External"/><Relationship Id="rId1608" Type="http://schemas.openxmlformats.org/officeDocument/2006/relationships/hyperlink" Target="http://epmundo.com/2018/theresa-may-le-saca-las-garras-al-gobierno-de-pedro-sanchez/" TargetMode="External"/><Relationship Id="rId1815" Type="http://schemas.openxmlformats.org/officeDocument/2006/relationships/hyperlink" Target="https://www.facebook.com/noticias15segundos" TargetMode="External"/><Relationship Id="rId3030" Type="http://schemas.openxmlformats.org/officeDocument/2006/relationships/hyperlink" Target="https://okdiario.com/espana/2018/11/21/sanchez-mando-coche-oficial-vacio-valladolid-hacer-8-kms-del-aeropuerto-ciudad-3377374/amp" TargetMode="External"/><Relationship Id="rId3268" Type="http://schemas.openxmlformats.org/officeDocument/2006/relationships/hyperlink" Target="http://pic.twitter.com/5ajFaDgVLg" TargetMode="External"/><Relationship Id="rId3475" Type="http://schemas.openxmlformats.org/officeDocument/2006/relationships/hyperlink" Target="https://www.esdiario.com/127295824/Casado-revela-que-Sanchez-filtro-el-nombre-de-Marchena-y-duda-de-que-el-Whatsapp.html" TargetMode="External"/><Relationship Id="rId189" Type="http://schemas.openxmlformats.org/officeDocument/2006/relationships/hyperlink" Target="https://www.youtube.com/c/ElPeriodistaCamorrista" TargetMode="External"/><Relationship Id="rId396" Type="http://schemas.openxmlformats.org/officeDocument/2006/relationships/hyperlink" Target="https://www.revistavanityfair.es/poder/articulos/luis-marco-aguiriano-brexit-ue-theresa-may-pedro-sanchez-este-es-el-hombre-mas-indiscreto-de-europa/34843" TargetMode="External"/><Relationship Id="rId2077" Type="http://schemas.openxmlformats.org/officeDocument/2006/relationships/hyperlink" Target="https://pbs.twimg.com/media/Dso3cQKU0AAVgpz.jpg" TargetMode="External"/><Relationship Id="rId2284" Type="http://schemas.openxmlformats.org/officeDocument/2006/relationships/hyperlink" Target="https://www.autonomosyemprendedor.es/articulo/actualidad/congreso-vota-hoy-excluye-todos-autonomos-impuesto-diesel/20181119151604018184.html" TargetMode="External"/><Relationship Id="rId2491" Type="http://schemas.openxmlformats.org/officeDocument/2006/relationships/hyperlink" Target="http://www.alertadigital.com/2018/11/19/pedro-sanchez-pasa-de-defender-la-exhumacion-de-franco-a-rendir-honores-al-tirano-hassan-ii-en-su-mausoleo-de-rabat/" TargetMode="External"/><Relationship Id="rId3128" Type="http://schemas.openxmlformats.org/officeDocument/2006/relationships/hyperlink" Target="http://elconservadordigital.wordpress.com/" TargetMode="External"/><Relationship Id="rId3335" Type="http://schemas.openxmlformats.org/officeDocument/2006/relationships/hyperlink" Target="http://www.granma.cu/mundo/2018-11-21/biografia-oficial-del-excmo-sr-pedro-sanchez-perez-castejon-presidente-del-gobierno-del-reino-de-espana-21-11-2018-20-11-30" TargetMode="External"/><Relationship Id="rId3542" Type="http://schemas.openxmlformats.org/officeDocument/2006/relationships/hyperlink" Target="http://marmitabares.com/" TargetMode="External"/><Relationship Id="rId256" Type="http://schemas.openxmlformats.org/officeDocument/2006/relationships/hyperlink" Target="http://www.instagram.com/danicorderom" TargetMode="External"/><Relationship Id="rId463" Type="http://schemas.openxmlformats.org/officeDocument/2006/relationships/hyperlink" Target="http://navarra.ciudadanos-cs.org/" TargetMode="External"/><Relationship Id="rId670" Type="http://schemas.openxmlformats.org/officeDocument/2006/relationships/hyperlink" Target="https://nuevarevolucion.es/pedro-sanchez-el-paso-atras-de-la-izquierda/" TargetMode="External"/><Relationship Id="rId1093" Type="http://schemas.openxmlformats.org/officeDocument/2006/relationships/hyperlink" Target="https://www.cibercuba.com/videos/noticias/2018-11-23-u1-e199291-s27061-pedro-sanchez-inicia-su-vista-habana-firma-acuerdos" TargetMode="External"/><Relationship Id="rId2144" Type="http://schemas.openxmlformats.org/officeDocument/2006/relationships/hyperlink" Target="http://baloncestodepizarra.blogspot.com.es/" TargetMode="External"/><Relationship Id="rId2351" Type="http://schemas.openxmlformats.org/officeDocument/2006/relationships/hyperlink" Target="http://www.gppopular.es/" TargetMode="External"/><Relationship Id="rId2589" Type="http://schemas.openxmlformats.org/officeDocument/2006/relationships/hyperlink" Target="https://pbs.twimg.com/media/DsdPZTSXQAAgbiU.jpg" TargetMode="External"/><Relationship Id="rId2796" Type="http://schemas.openxmlformats.org/officeDocument/2006/relationships/hyperlink" Target="http://www.diariojaen.es/cultura/baga-gana-una-estrella-michelin-GH4867998?fbclid=IwAR2ALSQ3SndNgFWxh46fLMHa-rjK7Vf0to4S_AMMRiv_zjh9d3uSLyqDZyk" TargetMode="External"/><Relationship Id="rId3402" Type="http://schemas.openxmlformats.org/officeDocument/2006/relationships/hyperlink" Target="https://twitter.com/24h_tve/status/1065560876021948416" TargetMode="External"/><Relationship Id="rId116" Type="http://schemas.openxmlformats.org/officeDocument/2006/relationships/hyperlink" Target="https://www.eldiario.es/politica/Marlaska-Pedro-Sanchez-candidato-Madrid_0_836066553.html" TargetMode="External"/><Relationship Id="rId323" Type="http://schemas.openxmlformats.org/officeDocument/2006/relationships/hyperlink" Target="http://www.eldiario.es/" TargetMode="External"/><Relationship Id="rId530" Type="http://schemas.openxmlformats.org/officeDocument/2006/relationships/hyperlink" Target="https://pbs.twimg.com/media/Dsr5EFYWoAAlSY2.jpg" TargetMode="External"/><Relationship Id="rId768" Type="http://schemas.openxmlformats.org/officeDocument/2006/relationships/hyperlink" Target="https://ift.tt/2qXbqsm" TargetMode="External"/><Relationship Id="rId975" Type="http://schemas.openxmlformats.org/officeDocument/2006/relationships/hyperlink" Target="http://www.lasprovincias.es/" TargetMode="External"/><Relationship Id="rId1160" Type="http://schemas.openxmlformats.org/officeDocument/2006/relationships/hyperlink" Target="http://www.redninjastudio.com/" TargetMode="External"/><Relationship Id="rId1398" Type="http://schemas.openxmlformats.org/officeDocument/2006/relationships/hyperlink" Target="http://hilodirecto.com.mx/pedro-sanchez-y-diaz-canel-acuerdan-en-la-habana/" TargetMode="External"/><Relationship Id="rId2004" Type="http://schemas.openxmlformats.org/officeDocument/2006/relationships/hyperlink" Target="https://www.elmundo.es/espana/2018/11/21/5bf5ab23e2704ea02f8b4581.html" TargetMode="External"/><Relationship Id="rId2211" Type="http://schemas.openxmlformats.org/officeDocument/2006/relationships/hyperlink" Target="https://www.elindependiente.com/politica/2018/11/22/la-ue-y-reino-unido-ignora-a-espana-y-pactan-una-declaracion-sobre-el-brexit-que-no-menciona-a-gibraltar/" TargetMode="External"/><Relationship Id="rId2449" Type="http://schemas.openxmlformats.org/officeDocument/2006/relationships/hyperlink" Target="https://www.veoinfo.com/pedro-sanchez-llega-a-cuba-para-impulsar-el-papel-de-espana-en-el-nuevo-tiempo-de-apertura/" TargetMode="External"/><Relationship Id="rId2656" Type="http://schemas.openxmlformats.org/officeDocument/2006/relationships/hyperlink" Target="http://hotmail.com/" TargetMode="External"/><Relationship Id="rId2863" Type="http://schemas.openxmlformats.org/officeDocument/2006/relationships/hyperlink" Target="https://pbs.twimg.com/media/Dsnnt6BXoAEMHim.jpg" TargetMode="External"/><Relationship Id="rId628" Type="http://schemas.openxmlformats.org/officeDocument/2006/relationships/hyperlink" Target="https://www.proyectohumanitariokudidito.com/" TargetMode="External"/><Relationship Id="rId835" Type="http://schemas.openxmlformats.org/officeDocument/2006/relationships/hyperlink" Target="https://pbs.twimg.com/media/DsrWeZjWoAAXA6q.jpg" TargetMode="External"/><Relationship Id="rId1258" Type="http://schemas.openxmlformats.org/officeDocument/2006/relationships/hyperlink" Target="http://pic.twitter.com/07IdjrDVI9" TargetMode="External"/><Relationship Id="rId1465" Type="http://schemas.openxmlformats.org/officeDocument/2006/relationships/hyperlink" Target="http://ociososmadrid.blogspot.com/" TargetMode="External"/><Relationship Id="rId1672" Type="http://schemas.openxmlformats.org/officeDocument/2006/relationships/hyperlink" Target="http://www.jornada.unam.mx/" TargetMode="External"/><Relationship Id="rId2309" Type="http://schemas.openxmlformats.org/officeDocument/2006/relationships/hyperlink" Target="https://okdiario.com/espana/2018/11/22/sanchez-inicia-primera-visita-lider-europeo-dictador-cubano-diaz-canel-3380653" TargetMode="External"/><Relationship Id="rId2516" Type="http://schemas.openxmlformats.org/officeDocument/2006/relationships/hyperlink" Target="https://www.ciudadanos-cs.org/" TargetMode="External"/><Relationship Id="rId2723" Type="http://schemas.openxmlformats.org/officeDocument/2006/relationships/hyperlink" Target="http://14ymedio.com/" TargetMode="External"/><Relationship Id="rId1020" Type="http://schemas.openxmlformats.org/officeDocument/2006/relationships/hyperlink" Target="http://urbano24horas.com/" TargetMode="External"/><Relationship Id="rId1118" Type="http://schemas.openxmlformats.org/officeDocument/2006/relationships/hyperlink" Target="https://pbs.twimg.com/media/Dsq9OBLXcAAFopb.jpg" TargetMode="External"/><Relationship Id="rId1325" Type="http://schemas.openxmlformats.org/officeDocument/2006/relationships/hyperlink" Target="https://pbs.twimg.com/media/DspmddpVAAEfn33.jpg" TargetMode="External"/><Relationship Id="rId1532" Type="http://schemas.openxmlformats.org/officeDocument/2006/relationships/hyperlink" Target="http://www.v24news.com/" TargetMode="External"/><Relationship Id="rId1977" Type="http://schemas.openxmlformats.org/officeDocument/2006/relationships/hyperlink" Target="https://pbs.twimg.com/media/Dso9xTtV4AAScWl.jpg" TargetMode="External"/><Relationship Id="rId2930" Type="http://schemas.openxmlformats.org/officeDocument/2006/relationships/hyperlink" Target="http://www.elmundo.es/" TargetMode="External"/><Relationship Id="rId902" Type="http://schemas.openxmlformats.org/officeDocument/2006/relationships/hyperlink" Target="http://aragon.ciudadanos-cs.org/" TargetMode="External"/><Relationship Id="rId1837" Type="http://schemas.openxmlformats.org/officeDocument/2006/relationships/hyperlink" Target="http://dlvr.it/QrtrYb" TargetMode="External"/><Relationship Id="rId3192" Type="http://schemas.openxmlformats.org/officeDocument/2006/relationships/hyperlink" Target="https://www.facebook.com/pages/Fans-de-Nata-Crespo/175113679168414?ref=stream" TargetMode="External"/><Relationship Id="rId3497" Type="http://schemas.openxmlformats.org/officeDocument/2006/relationships/hyperlink" Target="https://lapaseata.net/2018/11/22/socios-pedro-sanchez-degradan-democracia/" TargetMode="External"/><Relationship Id="rId31" Type="http://schemas.openxmlformats.org/officeDocument/2006/relationships/hyperlink" Target="https://pbs.twimg.com/media/DssjVTwXoAAkSeg.jpg" TargetMode="External"/><Relationship Id="rId2099" Type="http://schemas.openxmlformats.org/officeDocument/2006/relationships/hyperlink" Target="https://www.ramsoc47acrata.twitter.com/" TargetMode="External"/><Relationship Id="rId3052" Type="http://schemas.openxmlformats.org/officeDocument/2006/relationships/hyperlink" Target="https://pbs.twimg.com/media/DsnXDHOXQAIdQI6.jpg" TargetMode="External"/><Relationship Id="rId180" Type="http://schemas.openxmlformats.org/officeDocument/2006/relationships/hyperlink" Target="https://okdiario.com/espana/2018/11/23/pedro-sanchez-reune-cupula-del-regimen-cubano-palacio-revolucion-3382388" TargetMode="External"/><Relationship Id="rId278" Type="http://schemas.openxmlformats.org/officeDocument/2006/relationships/hyperlink" Target="https://www.eldiario.es/politica/Gobierno-Sanchez-Consejo-Europeo-Gibraltar_0_838866473.html" TargetMode="External"/><Relationship Id="rId1904" Type="http://schemas.openxmlformats.org/officeDocument/2006/relationships/hyperlink" Target="https://twitter.com/sanchezcastejon/status/1065718710466428928" TargetMode="External"/><Relationship Id="rId3357" Type="http://schemas.openxmlformats.org/officeDocument/2006/relationships/hyperlink" Target="https://www.eldiario.es/_31f6512a" TargetMode="External"/><Relationship Id="rId3564" Type="http://schemas.openxmlformats.org/officeDocument/2006/relationships/hyperlink" Target="https://goo.gl/fb/F1f7q4" TargetMode="External"/><Relationship Id="rId485" Type="http://schemas.openxmlformats.org/officeDocument/2006/relationships/hyperlink" Target="https://www.instagram.com/davidhermosor/" TargetMode="External"/><Relationship Id="rId692" Type="http://schemas.openxmlformats.org/officeDocument/2006/relationships/hyperlink" Target="https://www.economiadigital.es/politica-y-sociedad/el-ibex-senala-el-fin-del-gobierno-de-pedro-sanchez_590507_102.html" TargetMode="External"/><Relationship Id="rId2166" Type="http://schemas.openxmlformats.org/officeDocument/2006/relationships/hyperlink" Target="http://pic.twitter.com/EWtixuv99g" TargetMode="External"/><Relationship Id="rId2373" Type="http://schemas.openxmlformats.org/officeDocument/2006/relationships/hyperlink" Target="https://elpais.com/politica/2018/11/22/actualidad/1542901416_560011.html?id_externo_rsoc=TW_CM" TargetMode="External"/><Relationship Id="rId2580" Type="http://schemas.openxmlformats.org/officeDocument/2006/relationships/hyperlink" Target="http://www.cubamaintenant.wordpress.com/" TargetMode="External"/><Relationship Id="rId3217" Type="http://schemas.openxmlformats.org/officeDocument/2006/relationships/hyperlink" Target="https://elpais.com/politica/2018/11/21/actualidad/1542810485_448113.html?id_externo_rsoc=TW_CC" TargetMode="External"/><Relationship Id="rId3424" Type="http://schemas.openxmlformats.org/officeDocument/2006/relationships/hyperlink" Target="https://elpais.com/politica/2018/11/21/actualidad/1542810485_448113.html?id_externo_rsoc=TW_CC" TargetMode="External"/><Relationship Id="rId138" Type="http://schemas.openxmlformats.org/officeDocument/2006/relationships/hyperlink" Target="http://bit.ly/2DT9gm0" TargetMode="External"/><Relationship Id="rId345" Type="http://schemas.openxmlformats.org/officeDocument/2006/relationships/hyperlink" Target="https://www.periodistadigital.com/politica/gobierno/2018/11/23/pedro-sanchez-presume-viaje-dictadura-cubana-twitter-masacra-vividor.shtml" TargetMode="External"/><Relationship Id="rId552" Type="http://schemas.openxmlformats.org/officeDocument/2006/relationships/hyperlink" Target="https://pbs.twimg.com/media/Dsr26mBW0AAPegm.jpg" TargetMode="External"/><Relationship Id="rId997" Type="http://schemas.openxmlformats.org/officeDocument/2006/relationships/hyperlink" Target="https://www.farodevigo.es/" TargetMode="External"/><Relationship Id="rId1182" Type="http://schemas.openxmlformats.org/officeDocument/2006/relationships/hyperlink" Target="https://m.facebook.com/?_rdr" TargetMode="External"/><Relationship Id="rId2026" Type="http://schemas.openxmlformats.org/officeDocument/2006/relationships/hyperlink" Target="https://pbs.twimg.com/media/Dso8CTdU8AA2oM4.jpg" TargetMode="External"/><Relationship Id="rId2233" Type="http://schemas.openxmlformats.org/officeDocument/2006/relationships/hyperlink" Target="https://pbs.twimg.com/media/DsonDfNXoAACrZU.jpg" TargetMode="External"/><Relationship Id="rId2440" Type="http://schemas.openxmlformats.org/officeDocument/2006/relationships/hyperlink" Target="http://bit.ly/2FA12kc" TargetMode="External"/><Relationship Id="rId2678" Type="http://schemas.openxmlformats.org/officeDocument/2006/relationships/hyperlink" Target="https://www.eldiario.es/_31f6512a" TargetMode="External"/><Relationship Id="rId2885" Type="http://schemas.openxmlformats.org/officeDocument/2006/relationships/hyperlink" Target="http://cuartopoder.es/" TargetMode="External"/><Relationship Id="rId205" Type="http://schemas.openxmlformats.org/officeDocument/2006/relationships/hyperlink" Target="http://www.razon.com.mx/" TargetMode="External"/><Relationship Id="rId412" Type="http://schemas.openxmlformats.org/officeDocument/2006/relationships/hyperlink" Target="https://m.facebook.com/?_rdr" TargetMode="External"/><Relationship Id="rId857" Type="http://schemas.openxmlformats.org/officeDocument/2006/relationships/hyperlink" Target="http://www.carmenprados.com/" TargetMode="External"/><Relationship Id="rId1042" Type="http://schemas.openxmlformats.org/officeDocument/2006/relationships/hyperlink" Target="https://pbs.twimg.com/media/Dsq-mcbXoAI_L_u.jpg" TargetMode="External"/><Relationship Id="rId1487" Type="http://schemas.openxmlformats.org/officeDocument/2006/relationships/hyperlink" Target="https://pbs.twimg.com/media/Dsp8roKWwAYEgPA.jpg" TargetMode="External"/><Relationship Id="rId1694" Type="http://schemas.openxmlformats.org/officeDocument/2006/relationships/hyperlink" Target="http://www.granma.cu/cuba/2018-11-22/presidente-del-gobierno-espanol-llega-a-cuba-en-visita-oficial-22-11-2018-18-11-23" TargetMode="External"/><Relationship Id="rId2300" Type="http://schemas.openxmlformats.org/officeDocument/2006/relationships/hyperlink" Target="https://sevilla.abc.es/andalucia/malaga/sevi-mitad-asesinatos-costa-ajustes-cuentas-201811220722_noticia.html" TargetMode="External"/><Relationship Id="rId2538" Type="http://schemas.openxmlformats.org/officeDocument/2006/relationships/hyperlink" Target="https://noticierouniversal.com/destacadas/pedro-sanchez-implicado-estafa-bancaria/" TargetMode="External"/><Relationship Id="rId2745" Type="http://schemas.openxmlformats.org/officeDocument/2006/relationships/hyperlink" Target="https://okdiario-com.cdn.ampproject.org/v/s/okdiario.com/espana/2018/11/21/sanchez-mando-coche-oficial-vacio-valladolid-hacer-8-kms-del-aeropuerto-ciudad-3377374/amp?amp_js_v=a2&amp;amp_gsa=1" TargetMode="External"/><Relationship Id="rId2952" Type="http://schemas.openxmlformats.org/officeDocument/2006/relationships/hyperlink" Target="https://elpais.com/politica/2018/11/21/actualidad/1542810485_448113.html?id_externo_rsoc=TW_CC" TargetMode="External"/><Relationship Id="rId717" Type="http://schemas.openxmlformats.org/officeDocument/2006/relationships/hyperlink" Target="http://www.juventudrebelde.cu/" TargetMode="External"/><Relationship Id="rId924" Type="http://schemas.openxmlformats.org/officeDocument/2006/relationships/hyperlink" Target="https://www.periodistadigital.com/america/sociedad/2018/11/23/patada-por-el-culo-pedro-sanchez-solicitantes-asilo-vuelva-diciembre-2020.shtml" TargetMode="External"/><Relationship Id="rId1347" Type="http://schemas.openxmlformats.org/officeDocument/2006/relationships/hyperlink" Target="https://pbs.twimg.com/media/DsqZsPpVsAAiaPP.jpg" TargetMode="External"/><Relationship Id="rId1554" Type="http://schemas.openxmlformats.org/officeDocument/2006/relationships/hyperlink" Target="https://www.facebook.com/Consumer-Credit-Counseling-in-Utah-1699779267007279/" TargetMode="External"/><Relationship Id="rId1761" Type="http://schemas.openxmlformats.org/officeDocument/2006/relationships/hyperlink" Target="https://twitter.com/Talaverano78/status/1065703656463523840" TargetMode="External"/><Relationship Id="rId1999" Type="http://schemas.openxmlformats.org/officeDocument/2006/relationships/hyperlink" Target="http://ver.20m.es/tzztm2" TargetMode="External"/><Relationship Id="rId2605" Type="http://schemas.openxmlformats.org/officeDocument/2006/relationships/hyperlink" Target="https://okdiario.com/espana/2018/11/21/sanchez-mando-coche-oficial-vacio-valladolid-hacer-8-kms-del-aeropuerto-ciudad-3377374/amp" TargetMode="External"/><Relationship Id="rId2812" Type="http://schemas.openxmlformats.org/officeDocument/2006/relationships/hyperlink" Target="http://www.cubahora.cu/" TargetMode="External"/><Relationship Id="rId53" Type="http://schemas.openxmlformats.org/officeDocument/2006/relationships/hyperlink" Target="https://www.abc.es/espana/abci-opine-sobre-posibilidades-pedro-sanchez-negociacion-sobre-gibraltar-201811231120_noticia.html" TargetMode="External"/><Relationship Id="rId1207" Type="http://schemas.openxmlformats.org/officeDocument/2006/relationships/hyperlink" Target="https://www.diariolasamericas.com/c4166959" TargetMode="External"/><Relationship Id="rId1414" Type="http://schemas.openxmlformats.org/officeDocument/2006/relationships/hyperlink" Target="http://dlvr.it/QrvNPt" TargetMode="External"/><Relationship Id="rId1621" Type="http://schemas.openxmlformats.org/officeDocument/2006/relationships/hyperlink" Target="https://pbs.twimg.com/media/DspmddpVAAEfn33.jpg" TargetMode="External"/><Relationship Id="rId1859" Type="http://schemas.openxmlformats.org/officeDocument/2006/relationships/hyperlink" Target="https://laprensareal.wordpress.com/2018/11/22/pedro-sanchez-tras-hablar-con-theresa-may-sobre-gibraltar-si-no-hay-cambios-vetaremos-el-brexit-ue-espana-reinounido-gibraltar-brexit-pedrosanchez-theresamay/" TargetMode="External"/><Relationship Id="rId3074" Type="http://schemas.openxmlformats.org/officeDocument/2006/relationships/hyperlink" Target="http://www.academiadebeisbolsantacruz.com.ve/" TargetMode="External"/><Relationship Id="rId1719" Type="http://schemas.openxmlformats.org/officeDocument/2006/relationships/hyperlink" Target="https://ift.tt/2DSYT1n" TargetMode="External"/><Relationship Id="rId1926" Type="http://schemas.openxmlformats.org/officeDocument/2006/relationships/hyperlink" Target="http://www.noticierodigital.com/2018/11/pedro-sanchez-llego-cuba-se-reunira-diaz-canel/" TargetMode="External"/><Relationship Id="rId3281" Type="http://schemas.openxmlformats.org/officeDocument/2006/relationships/hyperlink" Target="http://hermandad-de.blogspot.com/" TargetMode="External"/><Relationship Id="rId3379" Type="http://schemas.openxmlformats.org/officeDocument/2006/relationships/hyperlink" Target="https://pbs.twimg.com/media/Dsm1fFXVAAA6Nco.jpg" TargetMode="External"/><Relationship Id="rId2090" Type="http://schemas.openxmlformats.org/officeDocument/2006/relationships/hyperlink" Target="https://lapaseata.net/2018/11/22/socios-pedro-sanchez-degradan-democracia/" TargetMode="External"/><Relationship Id="rId2188" Type="http://schemas.openxmlformats.org/officeDocument/2006/relationships/hyperlink" Target="http://epmundo.com/" TargetMode="External"/><Relationship Id="rId2395" Type="http://schemas.openxmlformats.org/officeDocument/2006/relationships/hyperlink" Target="https://ift.tt/2Bqa27o" TargetMode="External"/><Relationship Id="rId3141" Type="http://schemas.openxmlformats.org/officeDocument/2006/relationships/hyperlink" Target="https://curiouscat.me/Pablo_Petrov/post/713830207?t=1542896261" TargetMode="External"/><Relationship Id="rId3239" Type="http://schemas.openxmlformats.org/officeDocument/2006/relationships/hyperlink" Target="http://www.noticierodigital.com/" TargetMode="External"/><Relationship Id="rId3446" Type="http://schemas.openxmlformats.org/officeDocument/2006/relationships/hyperlink" Target="https://okdiario.com/espana/2018/11/21/sanchez-mando-coche-oficial-vacio-valladolid-hacer-8-kms-del-aeropuerto-ciudad-3377374" TargetMode="External"/><Relationship Id="rId367" Type="http://schemas.openxmlformats.org/officeDocument/2006/relationships/hyperlink" Target="http://www.doblellave.com/" TargetMode="External"/><Relationship Id="rId574" Type="http://schemas.openxmlformats.org/officeDocument/2006/relationships/hyperlink" Target="http://www.avesfotos.eu/" TargetMode="External"/><Relationship Id="rId2048" Type="http://schemas.openxmlformats.org/officeDocument/2006/relationships/hyperlink" Target="https://pbs.twimg.com/media/Dso6QtyUwAAOSPR.jpg" TargetMode="External"/><Relationship Id="rId2255" Type="http://schemas.openxmlformats.org/officeDocument/2006/relationships/hyperlink" Target="https://nuevarevolucion.es/pedro-sanchez-el-paso-atras-de-la-izquierda/" TargetMode="External"/><Relationship Id="rId3001" Type="http://schemas.openxmlformats.org/officeDocument/2006/relationships/hyperlink" Target="http://twiends.com/elerre2015" TargetMode="External"/><Relationship Id="rId227" Type="http://schemas.openxmlformats.org/officeDocument/2006/relationships/hyperlink" Target="https://pbs.twimg.com/media/DssRGCBWkAAFyCQ.jpg" TargetMode="External"/><Relationship Id="rId781" Type="http://schemas.openxmlformats.org/officeDocument/2006/relationships/hyperlink" Target="https://okdiario.com/espana/2018/11/23/pedro-sanchez-reune-cupula-del-regimen-cubano-palacio-revolucion-3382388" TargetMode="External"/><Relationship Id="rId879" Type="http://schemas.openxmlformats.org/officeDocument/2006/relationships/hyperlink" Target="https://pbs.twimg.com/media/DsrRkwAXQAAWH-Z.jpg" TargetMode="External"/><Relationship Id="rId2462" Type="http://schemas.openxmlformats.org/officeDocument/2006/relationships/hyperlink" Target="http://www.teleaguilas.es/" TargetMode="External"/><Relationship Id="rId2767" Type="http://schemas.openxmlformats.org/officeDocument/2006/relationships/hyperlink" Target="http://bit.ly/2AdPlK5" TargetMode="External"/><Relationship Id="rId3306" Type="http://schemas.openxmlformats.org/officeDocument/2006/relationships/hyperlink" Target="http://www.martinoticias.com/" TargetMode="External"/><Relationship Id="rId3513" Type="http://schemas.openxmlformats.org/officeDocument/2006/relationships/hyperlink" Target="https://www.elconfidencial.com/espana/cataluna/2018-11-21/erc-pide-pedro-sanchez-evite-elecciones_1658806/?utm_source=facebook&amp;utm_medium=social&amp;utm_campaign=ECDiarioManual" TargetMode="External"/><Relationship Id="rId434" Type="http://schemas.openxmlformats.org/officeDocument/2006/relationships/hyperlink" Target="https://pbs.twimg.com/media/DssAWSeWsAUR_PZ.jpg" TargetMode="External"/><Relationship Id="rId641" Type="http://schemas.openxmlformats.org/officeDocument/2006/relationships/hyperlink" Target="http://www.energiadiario.com/publicacion/ribera-defiende-la-importancia-del-sector-del-automovil-mientras-pedro-sanchez-recalca-que-otros-paises-prohibiran-los-coches-contaminantes-antes/" TargetMode="External"/><Relationship Id="rId739" Type="http://schemas.openxmlformats.org/officeDocument/2006/relationships/hyperlink" Target="http://chng.it/gr7xjn5v" TargetMode="External"/><Relationship Id="rId1064" Type="http://schemas.openxmlformats.org/officeDocument/2006/relationships/hyperlink" Target="http://www.tribunasalamanca.com/" TargetMode="External"/><Relationship Id="rId1271" Type="http://schemas.openxmlformats.org/officeDocument/2006/relationships/hyperlink" Target="http://20minutos.es/" TargetMode="External"/><Relationship Id="rId1369" Type="http://schemas.openxmlformats.org/officeDocument/2006/relationships/hyperlink" Target="http://www.radioreloj.cu/es/destacadas/encabezan-diaz-canel-pedro-sanchez-firma-memorandos-fotos/" TargetMode="External"/><Relationship Id="rId1576" Type="http://schemas.openxmlformats.org/officeDocument/2006/relationships/hyperlink" Target="http://revistamirall.com/author/jordisarrion/" TargetMode="External"/><Relationship Id="rId2115" Type="http://schemas.openxmlformats.org/officeDocument/2006/relationships/hyperlink" Target="http://www.elindependiente.com/" TargetMode="External"/><Relationship Id="rId2322" Type="http://schemas.openxmlformats.org/officeDocument/2006/relationships/hyperlink" Target="http://bit.ly/2r18zOX" TargetMode="External"/><Relationship Id="rId2974" Type="http://schemas.openxmlformats.org/officeDocument/2006/relationships/hyperlink" Target="https://pbs.twimg.com/media/Dsl9JaRVAAAFmGz.jpg" TargetMode="External"/><Relationship Id="rId501" Type="http://schemas.openxmlformats.org/officeDocument/2006/relationships/hyperlink" Target="https://pbs.twimg.com/media/Dsr5ZisX4AAN_EF.jpg" TargetMode="External"/><Relationship Id="rId946" Type="http://schemas.openxmlformats.org/officeDocument/2006/relationships/hyperlink" Target="https://pbs.twimg.com/media/DsrKxD8XgAAZYep.jpg" TargetMode="External"/><Relationship Id="rId1131" Type="http://schemas.openxmlformats.org/officeDocument/2006/relationships/hyperlink" Target="http://epmundo.com/2018/theresa-may-le-saca-las-garras-al-gobierno-de-pedro-sanchez/" TargetMode="External"/><Relationship Id="rId1229" Type="http://schemas.openxmlformats.org/officeDocument/2006/relationships/hyperlink" Target="http://bit.ly/2S5w4C7" TargetMode="External"/><Relationship Id="rId1783" Type="http://schemas.openxmlformats.org/officeDocument/2006/relationships/hyperlink" Target="http://www.bilbao24horas.com/" TargetMode="External"/><Relationship Id="rId1990" Type="http://schemas.openxmlformats.org/officeDocument/2006/relationships/hyperlink" Target="https://www.abc.es/espana/abci-ciudadanos-y-partido-popular-defienden-borrell-y-dejan-evidencia-sanchez-201811221314_noticia.html" TargetMode="External"/><Relationship Id="rId2627" Type="http://schemas.openxmlformats.org/officeDocument/2006/relationships/hyperlink" Target="http://www.politico.pe/" TargetMode="External"/><Relationship Id="rId2834" Type="http://schemas.openxmlformats.org/officeDocument/2006/relationships/hyperlink" Target="https://itunes.apple.com/es/book/gettysburg-1863/id665369445?mt=11" TargetMode="External"/><Relationship Id="rId75" Type="http://schemas.openxmlformats.org/officeDocument/2006/relationships/hyperlink" Target="http://www.periodistadigital.com/politica/gobierno/2018/11/23/pedro-sanchez-presume-viaje-dictadura-cubana-twitter-masacra-vividor.shtml" TargetMode="External"/><Relationship Id="rId806" Type="http://schemas.openxmlformats.org/officeDocument/2006/relationships/hyperlink" Target="http://www.slaymultimedios.com/" TargetMode="External"/><Relationship Id="rId1436" Type="http://schemas.openxmlformats.org/officeDocument/2006/relationships/hyperlink" Target="https://www.mystupidland.site/2018/11/llego-pedro-sanchez-a-cuba/" TargetMode="External"/><Relationship Id="rId1643" Type="http://schemas.openxmlformats.org/officeDocument/2006/relationships/hyperlink" Target="http://www.eljojoto.com/" TargetMode="External"/><Relationship Id="rId1850" Type="http://schemas.openxmlformats.org/officeDocument/2006/relationships/hyperlink" Target="http://tinyurl.com/y7v4ldtz" TargetMode="External"/><Relationship Id="rId2901" Type="http://schemas.openxmlformats.org/officeDocument/2006/relationships/hyperlink" Target="https://www.horajaen.com/2018/11/21/baga-el-primer-restaurante-en-jaen-con-una-estrella-michelin/" TargetMode="External"/><Relationship Id="rId3096" Type="http://schemas.openxmlformats.org/officeDocument/2006/relationships/hyperlink" Target="https://www.patreon.com/bePatron?c=1851057" TargetMode="External"/><Relationship Id="rId1503" Type="http://schemas.openxmlformats.org/officeDocument/2006/relationships/hyperlink" Target="http://tinyurl.com/yb99p62t" TargetMode="External"/><Relationship Id="rId1710" Type="http://schemas.openxmlformats.org/officeDocument/2006/relationships/hyperlink" Target="http://www.rcm.cu/" TargetMode="External"/><Relationship Id="rId1948" Type="http://schemas.openxmlformats.org/officeDocument/2006/relationships/hyperlink" Target="http://www.citizengo.org/hazteoir/166670-no-expolie-por-segunda-vez-archivo-salamanca?tc=tw&amp;tcid=52310378" TargetMode="External"/><Relationship Id="rId3163" Type="http://schemas.openxmlformats.org/officeDocument/2006/relationships/hyperlink" Target="https://goo.gl/fb/SkDjfq" TargetMode="External"/><Relationship Id="rId3370" Type="http://schemas.openxmlformats.org/officeDocument/2006/relationships/hyperlink" Target="https://pbs.twimg.com/media/Dsm2WoNXgAU1VLP.jpg" TargetMode="External"/><Relationship Id="rId291" Type="http://schemas.openxmlformats.org/officeDocument/2006/relationships/hyperlink" Target="https://pbs.twimg.com/media/DssM-SpUwAAB5_h.jpg" TargetMode="External"/><Relationship Id="rId1808" Type="http://schemas.openxmlformats.org/officeDocument/2006/relationships/hyperlink" Target="https://www.20minutos.es/noticia/3499202/0/pedro-sanchez-viaje-cuba-reunion-diaz-canel-habana-llega/" TargetMode="External"/><Relationship Id="rId3023" Type="http://schemas.openxmlformats.org/officeDocument/2006/relationships/hyperlink" Target="https://pbs.twimg.com/media/Dsna89UUcAAwe9h.jpg" TargetMode="External"/><Relationship Id="rId3468" Type="http://schemas.openxmlformats.org/officeDocument/2006/relationships/hyperlink" Target="http://www.lanacion.com.py/" TargetMode="External"/><Relationship Id="rId151" Type="http://schemas.openxmlformats.org/officeDocument/2006/relationships/hyperlink" Target="https://www.periodistadigital.com/politica/gobierno/2018/11/23/pedro-sanchez-presume-viaje-dictadura-cubana-twitter-masacra-vividor.shtml" TargetMode="External"/><Relationship Id="rId389" Type="http://schemas.openxmlformats.org/officeDocument/2006/relationships/hyperlink" Target="https://www.periodistadigital.com/politica/gobierno/2018/11/23/el-ridiculo-del-inepto-pedro-sanchez-ante-theresa-may-y-su-venganza-por-gibraltar.shtml" TargetMode="External"/><Relationship Id="rId596" Type="http://schemas.openxmlformats.org/officeDocument/2006/relationships/hyperlink" Target="https://pbs.twimg.com/media/DsrvxBOWwAYHiHl.jpg" TargetMode="External"/><Relationship Id="rId2277" Type="http://schemas.openxmlformats.org/officeDocument/2006/relationships/hyperlink" Target="https://twitter.com/cristiancrespoj/status/1065077145075138560" TargetMode="External"/><Relationship Id="rId2484" Type="http://schemas.openxmlformats.org/officeDocument/2006/relationships/hyperlink" Target="https://www.periodistadigital.com/periodismo/tv/2018/11/22/ferreras-jefe-de-prensa-pedro-sanchez-rafa-hernando-gobierno-pp-borrell.shtml" TargetMode="External"/><Relationship Id="rId2691" Type="http://schemas.openxmlformats.org/officeDocument/2006/relationships/hyperlink" Target="https://okdiario.com/espana/2018/11/22/sanchez-inicia-primera-visita-lider-europeo-dictador-cubano-diaz-canel-3380653" TargetMode="External"/><Relationship Id="rId3230" Type="http://schemas.openxmlformats.org/officeDocument/2006/relationships/hyperlink" Target="http://pic.twitter.com/m1gZ9iK1u1" TargetMode="External"/><Relationship Id="rId3328" Type="http://schemas.openxmlformats.org/officeDocument/2006/relationships/hyperlink" Target="https://pbs.twimg.com/media/Dsm62V-XQAAkbUV.jpg" TargetMode="External"/><Relationship Id="rId3535" Type="http://schemas.openxmlformats.org/officeDocument/2006/relationships/hyperlink" Target="https://pbs.twimg.com/media/Dsmi4zAWwAAVWnl.jpg" TargetMode="External"/><Relationship Id="rId249" Type="http://schemas.openxmlformats.org/officeDocument/2006/relationships/hyperlink" Target="https://totbalears.com/carta-abierta-de-un-cubano-a-pedro-sanchez/" TargetMode="External"/><Relationship Id="rId456" Type="http://schemas.openxmlformats.org/officeDocument/2006/relationships/hyperlink" Target="https://pbs.twimg.com/media/Dsr8I_FWsAEYEAP.jpg" TargetMode="External"/><Relationship Id="rId663" Type="http://schemas.openxmlformats.org/officeDocument/2006/relationships/hyperlink" Target="https://marchalsabater.wordpress.com/" TargetMode="External"/><Relationship Id="rId870" Type="http://schemas.openxmlformats.org/officeDocument/2006/relationships/hyperlink" Target="https://pbs.twimg.com/media/DsrSNaqX4AA_P1x.jpg" TargetMode="External"/><Relationship Id="rId1086" Type="http://schemas.openxmlformats.org/officeDocument/2006/relationships/hyperlink" Target="https://goo.gl/B7dcKa" TargetMode="External"/><Relationship Id="rId1293" Type="http://schemas.openxmlformats.org/officeDocument/2006/relationships/hyperlink" Target="http://ww.cope.es/rwcgo1" TargetMode="External"/><Relationship Id="rId2137" Type="http://schemas.openxmlformats.org/officeDocument/2006/relationships/hyperlink" Target="http://manifiestouniversalista.blogspot.com/" TargetMode="External"/><Relationship Id="rId2344" Type="http://schemas.openxmlformats.org/officeDocument/2006/relationships/hyperlink" Target="http://youtu.be/EyAx7UHF6CU?a" TargetMode="External"/><Relationship Id="rId2551" Type="http://schemas.openxmlformats.org/officeDocument/2006/relationships/hyperlink" Target="http://somosecd.com/e26pe4" TargetMode="External"/><Relationship Id="rId2789" Type="http://schemas.openxmlformats.org/officeDocument/2006/relationships/hyperlink" Target="http://trabajadores.cu/" TargetMode="External"/><Relationship Id="rId2996" Type="http://schemas.openxmlformats.org/officeDocument/2006/relationships/hyperlink" Target="http://pic.twitter.com/AEVJhvKhlV" TargetMode="External"/><Relationship Id="rId109" Type="http://schemas.openxmlformats.org/officeDocument/2006/relationships/hyperlink" Target="https://www.veoinfo.com/el-gobierno-abre-la-puerta-a-que-pedro-sanchez-plante-al-consejo-europeo-por-el-desacuerdo-sobre-gibraltar/" TargetMode="External"/><Relationship Id="rId316" Type="http://schemas.openxmlformats.org/officeDocument/2006/relationships/hyperlink" Target="http://es.linkedin.com/in/laurasanzgarcia" TargetMode="External"/><Relationship Id="rId523" Type="http://schemas.openxmlformats.org/officeDocument/2006/relationships/hyperlink" Target="https://pbs.twimg.com/media/Dsr5QpeXgAAUg8V.jpg" TargetMode="External"/><Relationship Id="rId968" Type="http://schemas.openxmlformats.org/officeDocument/2006/relationships/hyperlink" Target="https://uji.academia.edu/Jos%C3%A9Mart%C3%ADnezRubio" TargetMode="External"/><Relationship Id="rId1153" Type="http://schemas.openxmlformats.org/officeDocument/2006/relationships/hyperlink" Target="https://youtu.be/ZU_dMMGCQcw" TargetMode="External"/><Relationship Id="rId1598" Type="http://schemas.openxmlformats.org/officeDocument/2006/relationships/hyperlink" Target="https://www.facebook.com/Me-lo-dices-o-me-lo-cuentas-Te-lo-cuento-1209658342506537/" TargetMode="External"/><Relationship Id="rId2204" Type="http://schemas.openxmlformats.org/officeDocument/2006/relationships/hyperlink" Target="http://bit.ly/2DSMASP" TargetMode="External"/><Relationship Id="rId2649" Type="http://schemas.openxmlformats.org/officeDocument/2006/relationships/hyperlink" Target="https://pbs.twimg.com/media/Dsn5GZwUUAAcwyh.jpg" TargetMode="External"/><Relationship Id="rId2856" Type="http://schemas.openxmlformats.org/officeDocument/2006/relationships/hyperlink" Target="https://curiouscat.me/Nindle/post/713904380?t=1542903064" TargetMode="External"/><Relationship Id="rId97" Type="http://schemas.openxmlformats.org/officeDocument/2006/relationships/hyperlink" Target="https://www.infobae.com/america/mundo/2018/11/23/pedro-sanchez-hablo-con-theresa-may-y-reitero-que-hara-espana-si-no-hay-cambios-sobre-gibraltar-vetaremos-el-brexit/" TargetMode="External"/><Relationship Id="rId730" Type="http://schemas.openxmlformats.org/officeDocument/2006/relationships/hyperlink" Target="https://pbs.twimg.com/media/DsrinJ4WkAAPQBa.jpg" TargetMode="External"/><Relationship Id="rId828" Type="http://schemas.openxmlformats.org/officeDocument/2006/relationships/hyperlink" Target="https://www.abc.es/espana/abci-jose-daniel-ferrer-posible-liberen-presos-para-decir-visita-pedro-sanchez-cuba-sido-exito-201811230406_noticia.html" TargetMode="External"/><Relationship Id="rId1013" Type="http://schemas.openxmlformats.org/officeDocument/2006/relationships/hyperlink" Target="https://www.elconfidencial.com/espana/2018-11-23/pedro-sanchez-adelanto-electoral-superdomingo-barones_1663322/?utm_source=twitter&amp;utm_medium=social&amp;utm_campaign=ECDiarioManual" TargetMode="External"/><Relationship Id="rId1360" Type="http://schemas.openxmlformats.org/officeDocument/2006/relationships/hyperlink" Target="https://www.elperiodico.com/es/politica/20181122/pnv-arranca-pedro-sanchez-competencias-para-euskadi-7162799?utm_source=twitter&amp;utm_medium=social" TargetMode="External"/><Relationship Id="rId1458" Type="http://schemas.openxmlformats.org/officeDocument/2006/relationships/hyperlink" Target="https://pbs.twimg.com/media/DsqCKc4XQAE8pHS.jpg" TargetMode="External"/><Relationship Id="rId1665" Type="http://schemas.openxmlformats.org/officeDocument/2006/relationships/hyperlink" Target="http://www.noticierouniversal.com/" TargetMode="External"/><Relationship Id="rId1872" Type="http://schemas.openxmlformats.org/officeDocument/2006/relationships/hyperlink" Target="http://dlvr.it/Qrtpfj" TargetMode="External"/><Relationship Id="rId2411" Type="http://schemas.openxmlformats.org/officeDocument/2006/relationships/hyperlink" Target="http://foros.foxinver.com/" TargetMode="External"/><Relationship Id="rId2509" Type="http://schemas.openxmlformats.org/officeDocument/2006/relationships/hyperlink" Target="https://pbs.twimg.com/media/DsoJnYkX4AAtv3P.jpg" TargetMode="External"/><Relationship Id="rId2716" Type="http://schemas.openxmlformats.org/officeDocument/2006/relationships/hyperlink" Target="https://pbs.twimg.com/media/DsnydfuVsAA8ez-.jpg" TargetMode="External"/><Relationship Id="rId1220" Type="http://schemas.openxmlformats.org/officeDocument/2006/relationships/hyperlink" Target="http://www.firmamentocultural.blogspot.com.es/" TargetMode="External"/><Relationship Id="rId1318" Type="http://schemas.openxmlformats.org/officeDocument/2006/relationships/hyperlink" Target="http://www.factornoticia.com/" TargetMode="External"/><Relationship Id="rId1525" Type="http://schemas.openxmlformats.org/officeDocument/2006/relationships/hyperlink" Target="https://goo.gl/GSqtb8" TargetMode="External"/><Relationship Id="rId2923" Type="http://schemas.openxmlformats.org/officeDocument/2006/relationships/hyperlink" Target="http://www.lavanguardia.com/" TargetMode="External"/><Relationship Id="rId1732" Type="http://schemas.openxmlformats.org/officeDocument/2006/relationships/hyperlink" Target="https://pbs.twimg.com/media/DseQMMmW0AM3Qxr.jpg" TargetMode="External"/><Relationship Id="rId3185" Type="http://schemas.openxmlformats.org/officeDocument/2006/relationships/hyperlink" Target="https://pbs.twimg.com/media/DsnJz9iXgAENhnm.jpg" TargetMode="External"/><Relationship Id="rId3392" Type="http://schemas.openxmlformats.org/officeDocument/2006/relationships/hyperlink" Target="https://pbs.twimg.com/media/DsmzzIvXcAEUKlg.jpg" TargetMode="External"/><Relationship Id="rId24" Type="http://schemas.openxmlformats.org/officeDocument/2006/relationships/hyperlink" Target="https://pbs.twimg.com/media/DssjvdvWkAELFVr.jpg" TargetMode="External"/><Relationship Id="rId2299" Type="http://schemas.openxmlformats.org/officeDocument/2006/relationships/hyperlink" Target="https://pbs.twimg.com/media/DsoO3cRXoAA-5UA.jpg" TargetMode="External"/><Relationship Id="rId3045" Type="http://schemas.openxmlformats.org/officeDocument/2006/relationships/hyperlink" Target="http://goo.gl/H1LZS" TargetMode="External"/><Relationship Id="rId3252" Type="http://schemas.openxmlformats.org/officeDocument/2006/relationships/hyperlink" Target="https://youtu.be/OBEluUwFIu0" TargetMode="External"/><Relationship Id="rId173" Type="http://schemas.openxmlformats.org/officeDocument/2006/relationships/hyperlink" Target="https://www.elconfidencial.com/espana/2018-11-23/pedro-sanchez-adelanto-electoral-superdomingo-barones_1663322/?utm_source=twitter&amp;utm_medium=social&amp;utm_campaign=BotoneraWeb" TargetMode="External"/><Relationship Id="rId380" Type="http://schemas.openxmlformats.org/officeDocument/2006/relationships/hyperlink" Target="https://youtu.be/C4hpa5dCKAo" TargetMode="External"/><Relationship Id="rId2061" Type="http://schemas.openxmlformats.org/officeDocument/2006/relationships/hyperlink" Target="https://pbs.twimg.com/media/Dso4xo0W0AAYR87.jpg" TargetMode="External"/><Relationship Id="rId3112" Type="http://schemas.openxmlformats.org/officeDocument/2006/relationships/hyperlink" Target="http://www.libertaddigital.com/" TargetMode="External"/><Relationship Id="rId3557" Type="http://schemas.openxmlformats.org/officeDocument/2006/relationships/hyperlink" Target="https://pbs.twimg.com/media/DsmhT0JWoAMxauL.jpg" TargetMode="External"/><Relationship Id="rId240" Type="http://schemas.openxmlformats.org/officeDocument/2006/relationships/hyperlink" Target="http://bit.ly/2r0I9gt" TargetMode="External"/><Relationship Id="rId478" Type="http://schemas.openxmlformats.org/officeDocument/2006/relationships/hyperlink" Target="http://ver.abc.es/r47g22" TargetMode="External"/><Relationship Id="rId685" Type="http://schemas.openxmlformats.org/officeDocument/2006/relationships/hyperlink" Target="https://youtu.be/fxeeFgfi_rE" TargetMode="External"/><Relationship Id="rId892" Type="http://schemas.openxmlformats.org/officeDocument/2006/relationships/hyperlink" Target="http://www.marbella24horas.es/local/el-mitin-de-pedro-sanchez-y-susana-diaz-en-marbella-cambia-de-dia-24029" TargetMode="External"/><Relationship Id="rId2159" Type="http://schemas.openxmlformats.org/officeDocument/2006/relationships/hyperlink" Target="https://www.periodistadigital.com/periodismo/prensa/2018/11/22/alfonso-ussia-borra-sonrisa-egolatra-sanchez-manda-volando-psiquiatrico.shtml" TargetMode="External"/><Relationship Id="rId2366" Type="http://schemas.openxmlformats.org/officeDocument/2006/relationships/hyperlink" Target="http://chng.it/w62v5kkD" TargetMode="External"/><Relationship Id="rId2573" Type="http://schemas.openxmlformats.org/officeDocument/2006/relationships/hyperlink" Target="https://pbs.twimg.com/media/DsoB4cBW0AUjOPY.jpg" TargetMode="External"/><Relationship Id="rId2780" Type="http://schemas.openxmlformats.org/officeDocument/2006/relationships/hyperlink" Target="http://inmoavery.com/" TargetMode="External"/><Relationship Id="rId3417" Type="http://schemas.openxmlformats.org/officeDocument/2006/relationships/hyperlink" Target="http://www.madridiario.es/" TargetMode="External"/><Relationship Id="rId100" Type="http://schemas.openxmlformats.org/officeDocument/2006/relationships/hyperlink" Target="https://pbs.twimg.com/media/Dssa6zQXQAEq7DM.jpg" TargetMode="External"/><Relationship Id="rId338" Type="http://schemas.openxmlformats.org/officeDocument/2006/relationships/hyperlink" Target="https://www.economiadigital.es/politica-y-sociedad/el-ibex-senala-el-fin-del-gobierno-de-pedro-sanchez_590507_102.html" TargetMode="External"/><Relationship Id="rId545" Type="http://schemas.openxmlformats.org/officeDocument/2006/relationships/hyperlink" Target="http://diariodom.com/noticias/index.php?id=287716" TargetMode="External"/><Relationship Id="rId752" Type="http://schemas.openxmlformats.org/officeDocument/2006/relationships/hyperlink" Target="https://pbs.twimg.com/media/DsrgpNjXgAAXxub.jpg" TargetMode="External"/><Relationship Id="rId1175" Type="http://schemas.openxmlformats.org/officeDocument/2006/relationships/hyperlink" Target="https://google.com/newsstand/s/CBIwg9mP-T0" TargetMode="External"/><Relationship Id="rId1382" Type="http://schemas.openxmlformats.org/officeDocument/2006/relationships/hyperlink" Target="https://www.elperiodico.com/es/politica/20181122/pnv-arranca-pedro-sanchez-competencias-para-euskadi-7162799" TargetMode="External"/><Relationship Id="rId2019" Type="http://schemas.openxmlformats.org/officeDocument/2006/relationships/hyperlink" Target="https://es.rt.com/6cui" TargetMode="External"/><Relationship Id="rId2226" Type="http://schemas.openxmlformats.org/officeDocument/2006/relationships/hyperlink" Target="http://www.diariominuto.com/" TargetMode="External"/><Relationship Id="rId2433" Type="http://schemas.openxmlformats.org/officeDocument/2006/relationships/hyperlink" Target="http://bit.ly/2Fz5AHx" TargetMode="External"/><Relationship Id="rId2640" Type="http://schemas.openxmlformats.org/officeDocument/2006/relationships/hyperlink" Target="https://twitter.com/FelixLlerenaCUB/status/1065639734746189825" TargetMode="External"/><Relationship Id="rId2878" Type="http://schemas.openxmlformats.org/officeDocument/2006/relationships/hyperlink" Target="http://ow.ly/P1Km30mIo9G" TargetMode="External"/><Relationship Id="rId405" Type="http://schemas.openxmlformats.org/officeDocument/2006/relationships/hyperlink" Target="https://pbs.twimg.com/media/DssCh5_WsAI-50O.jpg" TargetMode="External"/><Relationship Id="rId612" Type="http://schemas.openxmlformats.org/officeDocument/2006/relationships/hyperlink" Target="http://riazordeportivo.blogspot.com.es/" TargetMode="External"/><Relationship Id="rId1035" Type="http://schemas.openxmlformats.org/officeDocument/2006/relationships/hyperlink" Target="https://ideas.economiadigital.es/" TargetMode="External"/><Relationship Id="rId1242" Type="http://schemas.openxmlformats.org/officeDocument/2006/relationships/hyperlink" Target="http://bit.ly/2BsFFNM" TargetMode="External"/><Relationship Id="rId1687" Type="http://schemas.openxmlformats.org/officeDocument/2006/relationships/hyperlink" Target="http://youtu.be/l_RvkJHlhgY?a" TargetMode="External"/><Relationship Id="rId1894" Type="http://schemas.openxmlformats.org/officeDocument/2006/relationships/hyperlink" Target="http://jabuedo.typepad.com/aires_de_la_parra" TargetMode="External"/><Relationship Id="rId2500" Type="http://schemas.openxmlformats.org/officeDocument/2006/relationships/hyperlink" Target="https://www.periodistadigital.com/periodismo/prensa/2018/11/22/alfonso-ussia-borra-sonrisa-egolatra-sanchez-manda-volando-psiquiatrico.shtml" TargetMode="External"/><Relationship Id="rId2738" Type="http://schemas.openxmlformats.org/officeDocument/2006/relationships/hyperlink" Target="https://amp.elmundo.es/espana/2018/11/21/5bf53f8b268e3e0a5a8b465c.html?__twitter_impression=true" TargetMode="External"/><Relationship Id="rId2945" Type="http://schemas.openxmlformats.org/officeDocument/2006/relationships/hyperlink" Target="https://www.elperiodico.com/es/internacional/20181121/una-visita-familiar-asi-acogen-los-cubanos-el-viaje-de-pedro-sanchez-7160488" TargetMode="External"/><Relationship Id="rId917" Type="http://schemas.openxmlformats.org/officeDocument/2006/relationships/hyperlink" Target="http://paper.li/lobo_solito/1343408781" TargetMode="External"/><Relationship Id="rId1102" Type="http://schemas.openxmlformats.org/officeDocument/2006/relationships/hyperlink" Target="http://elperiodi.co/ucoat2" TargetMode="External"/><Relationship Id="rId1547" Type="http://schemas.openxmlformats.org/officeDocument/2006/relationships/hyperlink" Target="https://buff.ly/2TAJ8Rx" TargetMode="External"/><Relationship Id="rId1754" Type="http://schemas.openxmlformats.org/officeDocument/2006/relationships/hyperlink" Target="http://epmundo.com/2018/theresa-may-le-saca-las-garras-al-gobierno-de-pedro-sanchez/" TargetMode="External"/><Relationship Id="rId1961" Type="http://schemas.openxmlformats.org/officeDocument/2006/relationships/hyperlink" Target="http://diariolasamericas.com/" TargetMode="External"/><Relationship Id="rId2805" Type="http://schemas.openxmlformats.org/officeDocument/2006/relationships/hyperlink" Target="https://pbs.twimg.com/media/DsnrjJOVsAEOZyN.jpg" TargetMode="External"/><Relationship Id="rId46" Type="http://schemas.openxmlformats.org/officeDocument/2006/relationships/hyperlink" Target="http://dlvr.it/QrxKY6" TargetMode="External"/><Relationship Id="rId1407" Type="http://schemas.openxmlformats.org/officeDocument/2006/relationships/hyperlink" Target="https://pbs.twimg.com/media/DsqJvc2W0AAWylH.jpg" TargetMode="External"/><Relationship Id="rId1614" Type="http://schemas.openxmlformats.org/officeDocument/2006/relationships/hyperlink" Target="http://bit.ly/2P2BNqw" TargetMode="External"/><Relationship Id="rId1821" Type="http://schemas.openxmlformats.org/officeDocument/2006/relationships/hyperlink" Target="https://www.eldiario.es/_2e699b43" TargetMode="External"/><Relationship Id="rId3067" Type="http://schemas.openxmlformats.org/officeDocument/2006/relationships/hyperlink" Target="https://www.libertaddigital.com/espana/2018-11-21/pedro-sanchez-pide-a-casado-y-rufian-que-pidan-discupas-por-el-escupitajo-de-erc-a-borell-1276628638/" TargetMode="External"/><Relationship Id="rId3274" Type="http://schemas.openxmlformats.org/officeDocument/2006/relationships/hyperlink" Target="https://www.elmundo.es/espana/2018/11/21/5bf5ab23e2704ea02f8b4581.html" TargetMode="External"/><Relationship Id="rId195" Type="http://schemas.openxmlformats.org/officeDocument/2006/relationships/hyperlink" Target="http://bit.ly/2PUaMuI" TargetMode="External"/><Relationship Id="rId1919" Type="http://schemas.openxmlformats.org/officeDocument/2006/relationships/hyperlink" Target="https://pbs.twimg.com/media/DspEbuQUcAAZsQS.jpg" TargetMode="External"/><Relationship Id="rId3481" Type="http://schemas.openxmlformats.org/officeDocument/2006/relationships/hyperlink" Target="http://bit.ly/2qYIbFl" TargetMode="External"/><Relationship Id="rId3579" Type="http://schemas.openxmlformats.org/officeDocument/2006/relationships/hyperlink" Target="http://www.lextres.com/" TargetMode="External"/><Relationship Id="rId2083" Type="http://schemas.openxmlformats.org/officeDocument/2006/relationships/hyperlink" Target="http://bit.ly/2DSMASP" TargetMode="External"/><Relationship Id="rId2290" Type="http://schemas.openxmlformats.org/officeDocument/2006/relationships/hyperlink" Target="https://www.eldiario.es/_31f6512a" TargetMode="External"/><Relationship Id="rId2388" Type="http://schemas.openxmlformats.org/officeDocument/2006/relationships/hyperlink" Target="https://www.elconfidencialdigital.com/articulo/politica/urkullu-arrincona-pedro-sanchez-exige-transferencia-inmediata-prisiones-seguridad-social/20181018181602117276.html" TargetMode="External"/><Relationship Id="rId2595" Type="http://schemas.openxmlformats.org/officeDocument/2006/relationships/hyperlink" Target="https://www.elmundo.es/internacional/2018/11/22/5bf6b01b468aeb352a8b463a.html" TargetMode="External"/><Relationship Id="rId3134" Type="http://schemas.openxmlformats.org/officeDocument/2006/relationships/hyperlink" Target="http://pic.twitter.com/BNLTr2VZbJ" TargetMode="External"/><Relationship Id="rId3341" Type="http://schemas.openxmlformats.org/officeDocument/2006/relationships/hyperlink" Target="http://mariconculto.wordpress.com/" TargetMode="External"/><Relationship Id="rId3439" Type="http://schemas.openxmlformats.org/officeDocument/2006/relationships/hyperlink" Target="https://www.elconfidencial.com/espana/2018-11-21/pedro-sanchez-viaje-cuba-empresarios-sociedad-cubana-disidencia_1658610/" TargetMode="External"/><Relationship Id="rId262" Type="http://schemas.openxmlformats.org/officeDocument/2006/relationships/hyperlink" Target="https://ift.tt/2R8Rb6n" TargetMode="External"/><Relationship Id="rId567" Type="http://schemas.openxmlformats.org/officeDocument/2006/relationships/hyperlink" Target="https://www.esdiario.com/238194049/La-prensa-castrista-ya-trata-a-Pedro-Sanchez-de-aexcelentisimoa.html" TargetMode="External"/><Relationship Id="rId1197" Type="http://schemas.openxmlformats.org/officeDocument/2006/relationships/hyperlink" Target="http://misiones.minrex.gob.cu/es/italia" TargetMode="External"/><Relationship Id="rId2150" Type="http://schemas.openxmlformats.org/officeDocument/2006/relationships/hyperlink" Target="http://www.saenzsotogrande.blogspot.com/" TargetMode="External"/><Relationship Id="rId2248" Type="http://schemas.openxmlformats.org/officeDocument/2006/relationships/hyperlink" Target="https://elpais.com/ccaa/2018/11/22/madrid/1542874097_264997.html?id_externo_rsoc=FB_CM_MAD" TargetMode="External"/><Relationship Id="rId3201" Type="http://schemas.openxmlformats.org/officeDocument/2006/relationships/hyperlink" Target="http://www.damasdeblanco.org/" TargetMode="External"/><Relationship Id="rId122" Type="http://schemas.openxmlformats.org/officeDocument/2006/relationships/hyperlink" Target="https://pbs.twimg.com/media/DssZB8xXQAEUSxR.jpg" TargetMode="External"/><Relationship Id="rId774" Type="http://schemas.openxmlformats.org/officeDocument/2006/relationships/hyperlink" Target="https://www.elmatinal.com/actualidad/el-comunista-abalos-enchufa-a-su-mujer-como-tesorera-de-su-ong-que-ha-recibido-49-millones-publicos/" TargetMode="External"/><Relationship Id="rId981" Type="http://schemas.openxmlformats.org/officeDocument/2006/relationships/hyperlink" Target="https://ift.tt/2OY4OmY" TargetMode="External"/><Relationship Id="rId1057" Type="http://schemas.openxmlformats.org/officeDocument/2006/relationships/hyperlink" Target="https://pbs.twimg.com/media/DsrCKkRWkAArs0T.jpg" TargetMode="External"/><Relationship Id="rId2010" Type="http://schemas.openxmlformats.org/officeDocument/2006/relationships/hyperlink" Target="https://www.eldiario.es/politica/Pedro-Sanchez-Espana-Brexit-Gibraltar_0_838517223.html" TargetMode="External"/><Relationship Id="rId2455" Type="http://schemas.openxmlformats.org/officeDocument/2006/relationships/hyperlink" Target="https://www.periodistadigital.com/periodismo/tv/2018/11/22/ferreras-jefe-de-prensa-pedro-sanchez-rafa-hernando-gobierno-pp-borrell.shtml" TargetMode="External"/><Relationship Id="rId2662" Type="http://schemas.openxmlformats.org/officeDocument/2006/relationships/hyperlink" Target="https://pbs.twimg.com/media/Dsn3MEwWsAEWFRp.jpg" TargetMode="External"/><Relationship Id="rId3506" Type="http://schemas.openxmlformats.org/officeDocument/2006/relationships/hyperlink" Target="https://www.elmundo.es/baleares/2018/11/22/5bf68ee2468aeb326f8b45e5.html" TargetMode="External"/><Relationship Id="rId427" Type="http://schemas.openxmlformats.org/officeDocument/2006/relationships/hyperlink" Target="http://bit.ly/2TDEHoO" TargetMode="External"/><Relationship Id="rId634" Type="http://schemas.openxmlformats.org/officeDocument/2006/relationships/hyperlink" Target="http://page.is/manuel" TargetMode="External"/><Relationship Id="rId841" Type="http://schemas.openxmlformats.org/officeDocument/2006/relationships/hyperlink" Target="http://www.omnia.com.mx/" TargetMode="External"/><Relationship Id="rId1264" Type="http://schemas.openxmlformats.org/officeDocument/2006/relationships/hyperlink" Target="https://pbs.twimg.com/media/DsqnMufWoAAVH9D.jpg" TargetMode="External"/><Relationship Id="rId1471" Type="http://schemas.openxmlformats.org/officeDocument/2006/relationships/hyperlink" Target="http://www.ciases.org.ni/" TargetMode="External"/><Relationship Id="rId1569" Type="http://schemas.openxmlformats.org/officeDocument/2006/relationships/hyperlink" Target="http://youtu.be/jP5zhe-Ot0o?a" TargetMode="External"/><Relationship Id="rId2108" Type="http://schemas.openxmlformats.org/officeDocument/2006/relationships/hyperlink" Target="https://pbs.twimg.com/media/Dso05gzU4AAeeeT.jpg" TargetMode="External"/><Relationship Id="rId2315" Type="http://schemas.openxmlformats.org/officeDocument/2006/relationships/hyperlink" Target="https://okdiario.com/espana/2018/11/21/sanchez-mando-coche-oficial-vacio-valladolid-hacer-8-kms-del-aeropuerto-ciudad-3377374" TargetMode="External"/><Relationship Id="rId2522" Type="http://schemas.openxmlformats.org/officeDocument/2006/relationships/hyperlink" Target="http://www.europapress.es/andalucia/" TargetMode="External"/><Relationship Id="rId2967" Type="http://schemas.openxmlformats.org/officeDocument/2006/relationships/hyperlink" Target="http://eleanor-viviendo.blogspot.com/" TargetMode="External"/><Relationship Id="rId701" Type="http://schemas.openxmlformats.org/officeDocument/2006/relationships/hyperlink" Target="http://www.mambiaccion.com/" TargetMode="External"/><Relationship Id="rId939" Type="http://schemas.openxmlformats.org/officeDocument/2006/relationships/hyperlink" Target="https://pbs.twimg.com/media/DsrLGEVX4AAyQJ9.jpg" TargetMode="External"/><Relationship Id="rId1124" Type="http://schemas.openxmlformats.org/officeDocument/2006/relationships/hyperlink" Target="http://mallorcadiario.com/" TargetMode="External"/><Relationship Id="rId1331" Type="http://schemas.openxmlformats.org/officeDocument/2006/relationships/hyperlink" Target="https://www.youtube.com/user/afpes/featured" TargetMode="External"/><Relationship Id="rId1776" Type="http://schemas.openxmlformats.org/officeDocument/2006/relationships/hyperlink" Target="https://www.eldiario.es/zonacritica/Pedro-Sanchez-estropeado-experimento_6_838226218.html" TargetMode="External"/><Relationship Id="rId1983" Type="http://schemas.openxmlformats.org/officeDocument/2006/relationships/hyperlink" Target="http://portaldiario.net/" TargetMode="External"/><Relationship Id="rId2827" Type="http://schemas.openxmlformats.org/officeDocument/2006/relationships/hyperlink" Target="https://goo.gl/u5117j" TargetMode="External"/><Relationship Id="rId68" Type="http://schemas.openxmlformats.org/officeDocument/2006/relationships/hyperlink" Target="https://pbs.twimg.com/media/DssfbMcXoAEOdvJ.jpg" TargetMode="External"/><Relationship Id="rId1429" Type="http://schemas.openxmlformats.org/officeDocument/2006/relationships/hyperlink" Target="https://es.rt.com/6cus" TargetMode="External"/><Relationship Id="rId1636" Type="http://schemas.openxmlformats.org/officeDocument/2006/relationships/hyperlink" Target="https://www.instagram.com/minhvi_carabobo/" TargetMode="External"/><Relationship Id="rId1843" Type="http://schemas.openxmlformats.org/officeDocument/2006/relationships/hyperlink" Target="https://pbs.twimg.com/media/DspLsW4UcAU9s-a.jpg" TargetMode="External"/><Relationship Id="rId3089" Type="http://schemas.openxmlformats.org/officeDocument/2006/relationships/hyperlink" Target="https://www.elconfidencialdigital.com/articulo/dinero/pedro-sanchez-ampliara-decreto-enero-permisos-paternidad/20181121190407118402.html" TargetMode="External"/><Relationship Id="rId3296" Type="http://schemas.openxmlformats.org/officeDocument/2006/relationships/hyperlink" Target="https://www.aporrea.org/internacionales/n334644.html" TargetMode="External"/><Relationship Id="rId1703" Type="http://schemas.openxmlformats.org/officeDocument/2006/relationships/hyperlink" Target="https://pbs.twimg.com/media/DspZO25U8AAXwKU.jpg" TargetMode="External"/><Relationship Id="rId1910" Type="http://schemas.openxmlformats.org/officeDocument/2006/relationships/hyperlink" Target="http://ow.ly/PKDf30mIHtq" TargetMode="External"/><Relationship Id="rId3156" Type="http://schemas.openxmlformats.org/officeDocument/2006/relationships/hyperlink" Target="http://instagram.com/fco_cp/" TargetMode="External"/><Relationship Id="rId3363" Type="http://schemas.openxmlformats.org/officeDocument/2006/relationships/hyperlink" Target="http://bit.ly/2TzPj8d" TargetMode="External"/><Relationship Id="rId284" Type="http://schemas.openxmlformats.org/officeDocument/2006/relationships/hyperlink" Target="http://pic.twitter.com/ySEoRK7bVb" TargetMode="External"/><Relationship Id="rId491" Type="http://schemas.openxmlformats.org/officeDocument/2006/relationships/hyperlink" Target="http://www.leti.com/www.diubaldoabogados.com" TargetMode="External"/><Relationship Id="rId2172" Type="http://schemas.openxmlformats.org/officeDocument/2006/relationships/hyperlink" Target="https://iusport.com/art/74769/sanchez-no-tiene-ningun-apoyo-cerrado-para-la-candidatura-al-mundial" TargetMode="External"/><Relationship Id="rId3016" Type="http://schemas.openxmlformats.org/officeDocument/2006/relationships/hyperlink" Target="http://pic.twitter.com/ZxDyYAXwYd" TargetMode="External"/><Relationship Id="rId3223" Type="http://schemas.openxmlformats.org/officeDocument/2006/relationships/hyperlink" Target="https://ift.tt/2DDghGw" TargetMode="External"/><Relationship Id="rId3570" Type="http://schemas.openxmlformats.org/officeDocument/2006/relationships/hyperlink" Target="https://pbs.twimg.com/media/DsmghM_W0AA1_Yx.jpg" TargetMode="External"/><Relationship Id="rId144" Type="http://schemas.openxmlformats.org/officeDocument/2006/relationships/hyperlink" Target="https://pbs.twimg.com/media/DssXs6PX4AASERS.jpg" TargetMode="External"/><Relationship Id="rId589" Type="http://schemas.openxmlformats.org/officeDocument/2006/relationships/hyperlink" Target="http://www.radiorebelde.cu/noticia/cuba-espana-apuestan-por-cooperacion-bilateral-20181123/" TargetMode="External"/><Relationship Id="rId796" Type="http://schemas.openxmlformats.org/officeDocument/2006/relationships/hyperlink" Target="http://merianmi.wordpress.com/" TargetMode="External"/><Relationship Id="rId2477" Type="http://schemas.openxmlformats.org/officeDocument/2006/relationships/hyperlink" Target="http://eldesmarque.com/coruna" TargetMode="External"/><Relationship Id="rId2684" Type="http://schemas.openxmlformats.org/officeDocument/2006/relationships/hyperlink" Target="https://pbs.twimg.com/media/Dsn0rggWsAIYtZV.jpg" TargetMode="External"/><Relationship Id="rId3430" Type="http://schemas.openxmlformats.org/officeDocument/2006/relationships/hyperlink" Target="https://www.larazon.es/espana/pedro-sanchez-no-se-reunira-en-su-viaje-a-cuba-con-los-grupos-opositores-IH20630495" TargetMode="External"/><Relationship Id="rId3528" Type="http://schemas.openxmlformats.org/officeDocument/2006/relationships/hyperlink" Target="https://pbs.twimg.com/media/DsmivNkWoAA4-nq.jpg" TargetMode="External"/><Relationship Id="rId351" Type="http://schemas.openxmlformats.org/officeDocument/2006/relationships/hyperlink" Target="https://www.europapress.es/nacional/noticia-pablo-iglesias-asegura-no-apoyara-pedro-sanchez-patrioterismos-extranos-relacion-gibraltar-20181123115328.html" TargetMode="External"/><Relationship Id="rId449" Type="http://schemas.openxmlformats.org/officeDocument/2006/relationships/hyperlink" Target="http://pic.twitter.com/C7Al35PsuW" TargetMode="External"/><Relationship Id="rId656" Type="http://schemas.openxmlformats.org/officeDocument/2006/relationships/hyperlink" Target="https://abiertopp.es/" TargetMode="External"/><Relationship Id="rId863" Type="http://schemas.openxmlformats.org/officeDocument/2006/relationships/hyperlink" Target="https://www.elperiodicomediterraneo.com/noticias/economia/cuota-minima-autonomos-subira-5-euros-mes-2019_1186253.html" TargetMode="External"/><Relationship Id="rId1079" Type="http://schemas.openxmlformats.org/officeDocument/2006/relationships/hyperlink" Target="http://facebook.com/nuestragentecalifornia" TargetMode="External"/><Relationship Id="rId1286" Type="http://schemas.openxmlformats.org/officeDocument/2006/relationships/hyperlink" Target="http://www.periodistadigital.com/" TargetMode="External"/><Relationship Id="rId1493" Type="http://schemas.openxmlformats.org/officeDocument/2006/relationships/hyperlink" Target="http://www.acn.cu/" TargetMode="External"/><Relationship Id="rId2032" Type="http://schemas.openxmlformats.org/officeDocument/2006/relationships/hyperlink" Target="http://dlvr.it/Qrth5h" TargetMode="External"/><Relationship Id="rId2337" Type="http://schemas.openxmlformats.org/officeDocument/2006/relationships/hyperlink" Target="http://bit.ly/2Aea6W6" TargetMode="External"/><Relationship Id="rId2544" Type="http://schemas.openxmlformats.org/officeDocument/2006/relationships/hyperlink" Target="https://pbs.twimg.com/media/DsoFbHgVsAA1LKn.jpg" TargetMode="External"/><Relationship Id="rId2891" Type="http://schemas.openxmlformats.org/officeDocument/2006/relationships/hyperlink" Target="https://pbs.twimg.com/media/DsnmF8xVsAA_3Uf.jpg" TargetMode="External"/><Relationship Id="rId2989" Type="http://schemas.openxmlformats.org/officeDocument/2006/relationships/hyperlink" Target="https://pbs.twimg.com/media/DsdjaFnWwAEdAuR.jpg" TargetMode="External"/><Relationship Id="rId211" Type="http://schemas.openxmlformats.org/officeDocument/2006/relationships/hyperlink" Target="https://ift.tt/2R8Rb6n" TargetMode="External"/><Relationship Id="rId309" Type="http://schemas.openxmlformats.org/officeDocument/2006/relationships/hyperlink" Target="https://www.prensa-latina.cu/index.php?o=rn&amp;id=230921&amp;SEO=diaz-canel-y-pedro-sanchez-encabezan-firma-de-memorandos-fotos" TargetMode="External"/><Relationship Id="rId516" Type="http://schemas.openxmlformats.org/officeDocument/2006/relationships/hyperlink" Target="https://pbs.twimg.com/media/Dsr5a2WWoAA5oNK.jpg" TargetMode="External"/><Relationship Id="rId1146" Type="http://schemas.openxmlformats.org/officeDocument/2006/relationships/hyperlink" Target="https://es.linkedin.com/in/puxapali" TargetMode="External"/><Relationship Id="rId1798" Type="http://schemas.openxmlformats.org/officeDocument/2006/relationships/hyperlink" Target="http://j.mp/2FAPBsH" TargetMode="External"/><Relationship Id="rId2751" Type="http://schemas.openxmlformats.org/officeDocument/2006/relationships/hyperlink" Target="https://www.periodistadigital.com/periodismo/tv/2018/11/22/ferreras-jefe-de-prensa-pedro-sanchez-rafa-hernando-gobierno-pp-borrell.shtml" TargetMode="External"/><Relationship Id="rId2849" Type="http://schemas.openxmlformats.org/officeDocument/2006/relationships/hyperlink" Target="https://www.abc.es/historia/abci-pedro-sanchez-y-silla-maceo-heroe-cubano-cuyo-asesinato-puso-mundo-contra-espana-201811210237_noticia.html" TargetMode="External"/><Relationship Id="rId723" Type="http://schemas.openxmlformats.org/officeDocument/2006/relationships/hyperlink" Target="https://curiouscat.me/cuaquers" TargetMode="External"/><Relationship Id="rId930" Type="http://schemas.openxmlformats.org/officeDocument/2006/relationships/hyperlink" Target="http://atres.red/qn9ti1" TargetMode="External"/><Relationship Id="rId1006" Type="http://schemas.openxmlformats.org/officeDocument/2006/relationships/hyperlink" Target="https://pbs.twimg.com/media/DsrFHmaWsAAxUZx.jpg" TargetMode="External"/><Relationship Id="rId1353" Type="http://schemas.openxmlformats.org/officeDocument/2006/relationships/hyperlink" Target="http://www.15minutos.com/" TargetMode="External"/><Relationship Id="rId1560" Type="http://schemas.openxmlformats.org/officeDocument/2006/relationships/hyperlink" Target="https://www.14ymedio.com/opinion/Cuba-viaje-arriesgado-Pedro-Sanchez_0_2550344946.html" TargetMode="External"/><Relationship Id="rId1658" Type="http://schemas.openxmlformats.org/officeDocument/2006/relationships/hyperlink" Target="https://www.elnortedecastilla.es/nacional/pedro-sanchez-evitara-20181122001218-ntrc.html" TargetMode="External"/><Relationship Id="rId1865" Type="http://schemas.openxmlformats.org/officeDocument/2006/relationships/hyperlink" Target="https://www.facebook.com/RadioTaino/posts/2050219288389181" TargetMode="External"/><Relationship Id="rId2404" Type="http://schemas.openxmlformats.org/officeDocument/2006/relationships/hyperlink" Target="http://www.periodistadigital.com/periodismo/tv/2018/11/22/ferreras-jefe-de-prensa-pedro-sanchez-rafa-hernando-gobierno-pp-borrell.shtml" TargetMode="External"/><Relationship Id="rId2611" Type="http://schemas.openxmlformats.org/officeDocument/2006/relationships/hyperlink" Target="https://pbs.twimg.com/media/Dsn9qyeXQAISCX4.jpg" TargetMode="External"/><Relationship Id="rId2709" Type="http://schemas.openxmlformats.org/officeDocument/2006/relationships/hyperlink" Target="https://diariopatriota.com/pedro-sanchez-acuerda-con-marruecos-pagar-los-estudios-a-los-estudiantes-marroquies/" TargetMode="External"/><Relationship Id="rId1213" Type="http://schemas.openxmlformats.org/officeDocument/2006/relationships/hyperlink" Target="https://elpais.com/politica/2018/11/22/actualidad/1542895067_131665.html" TargetMode="External"/><Relationship Id="rId1420" Type="http://schemas.openxmlformats.org/officeDocument/2006/relationships/hyperlink" Target="http://www.cubadiplomatica.cu/haiti/ES/Inicio.aspx" TargetMode="External"/><Relationship Id="rId1518" Type="http://schemas.openxmlformats.org/officeDocument/2006/relationships/hyperlink" Target="https://m.eltiempo.com/mundo/latinoamerica/por-que-viaja-el-presidente-espanol-pedro-sanchez-a-cuba-296542" TargetMode="External"/><Relationship Id="rId2916" Type="http://schemas.openxmlformats.org/officeDocument/2006/relationships/hyperlink" Target="https://www.eleconomista.es/economia/noticias/9537195/11/18/Theresa-May-Confio-en-alcanzar-un-acuerdo-sobre-Gibraltar-de-aqui-al-domingo-.html" TargetMode="External"/><Relationship Id="rId3080" Type="http://schemas.openxmlformats.org/officeDocument/2006/relationships/hyperlink" Target="https://pbs.twimg.com/media/DsnT4CDW0AAr8ro.jpg" TargetMode="External"/><Relationship Id="rId1725" Type="http://schemas.openxmlformats.org/officeDocument/2006/relationships/hyperlink" Target="https://www.instagram.com/exespears" TargetMode="External"/><Relationship Id="rId1932" Type="http://schemas.openxmlformats.org/officeDocument/2006/relationships/hyperlink" Target="http://www.noticierodigital.com/" TargetMode="External"/><Relationship Id="rId3178" Type="http://schemas.openxmlformats.org/officeDocument/2006/relationships/hyperlink" Target="https://www.nodal.am/" TargetMode="External"/><Relationship Id="rId3385" Type="http://schemas.openxmlformats.org/officeDocument/2006/relationships/hyperlink" Target="http://es.favstar.fm/users/norcatalan" TargetMode="External"/><Relationship Id="rId17" Type="http://schemas.openxmlformats.org/officeDocument/2006/relationships/hyperlink" Target="https://okdiario.com/economia/empresas/2018/11/23/sanchez-preve-impulso-reformista-cuba-reunion-diaz-canel-3384437?utm_term=Autofeed&amp;utm_medium=Social&amp;utm_source=Twitter" TargetMode="External"/><Relationship Id="rId2194" Type="http://schemas.openxmlformats.org/officeDocument/2006/relationships/hyperlink" Target="https://okdiario.com/espana/2018/11/21/sanchez-mando-coche-oficial-vacio-valladolid-hacer-8-kms-del-aeropuerto-ciudad-3377374" TargetMode="External"/><Relationship Id="rId3038" Type="http://schemas.openxmlformats.org/officeDocument/2006/relationships/hyperlink" Target="http://www.facebook.com/profile.php?id=100000549097887&amp;ref=tn_tinyman" TargetMode="External"/><Relationship Id="rId3245" Type="http://schemas.openxmlformats.org/officeDocument/2006/relationships/hyperlink" Target="http://bit.ly/2FD6Fy8" TargetMode="External"/><Relationship Id="rId3452" Type="http://schemas.openxmlformats.org/officeDocument/2006/relationships/hyperlink" Target="https://pbs.twimg.com/media/DsmpfACXcAASLBI.jpg" TargetMode="External"/><Relationship Id="rId166" Type="http://schemas.openxmlformats.org/officeDocument/2006/relationships/hyperlink" Target="http://liverdades.com/" TargetMode="External"/><Relationship Id="rId373" Type="http://schemas.openxmlformats.org/officeDocument/2006/relationships/hyperlink" Target="https://estudioslatinoseiberoamericanos.wordpress.com/2016/08/04/espana-debe-dejar-el-bloqueo-politico-y-continuar-su-buen-ritmo-consolidando-lo-bien-logrado-e-ir-por-mas-a-que-le-dice-no-pedro-sanchez-cuando-el-no-p/" TargetMode="External"/><Relationship Id="rId580" Type="http://schemas.openxmlformats.org/officeDocument/2006/relationships/hyperlink" Target="https://www.periodistadigital.com/periodismo/prensa/2018/11/23/escupitajo-elpais-oposicion-cubana-elogiando-pedro-sanchez-no-reuna-diaz-canel-brexit-gibraltar-borrell.shtml" TargetMode="External"/><Relationship Id="rId2054" Type="http://schemas.openxmlformats.org/officeDocument/2006/relationships/hyperlink" Target="http://cartadelsur.blogspot.com/" TargetMode="External"/><Relationship Id="rId2261" Type="http://schemas.openxmlformats.org/officeDocument/2006/relationships/hyperlink" Target="https://www.elmundo.es/internacional/2018/11/22/5bf6b01b468aeb352a8b463a.html" TargetMode="External"/><Relationship Id="rId2499" Type="http://schemas.openxmlformats.org/officeDocument/2006/relationships/hyperlink" Target="https://www.elmundo.es/internacional/2018/11/22/5bf6b01b468aeb352a8b463a.html" TargetMode="External"/><Relationship Id="rId3105" Type="http://schemas.openxmlformats.org/officeDocument/2006/relationships/hyperlink" Target="http://www.marca.com/tiramillas.html" TargetMode="External"/><Relationship Id="rId3312" Type="http://schemas.openxmlformats.org/officeDocument/2006/relationships/hyperlink" Target="http://www.omfilms.com/" TargetMode="External"/><Relationship Id="rId1" Type="http://schemas.openxmlformats.org/officeDocument/2006/relationships/hyperlink" Target="http://bit.ly/2R6jjHr" TargetMode="External"/><Relationship Id="rId233" Type="http://schemas.openxmlformats.org/officeDocument/2006/relationships/hyperlink" Target="https://pbs.twimg.com/media/DssQxeLV4AAjb5W.jpg" TargetMode="External"/><Relationship Id="rId440" Type="http://schemas.openxmlformats.org/officeDocument/2006/relationships/hyperlink" Target="https://pbs.twimg.com/media/Dsr-19AUwAAZXda.jpg" TargetMode="External"/><Relationship Id="rId678" Type="http://schemas.openxmlformats.org/officeDocument/2006/relationships/hyperlink" Target="http://www.fjaviernunez.es/" TargetMode="External"/><Relationship Id="rId885" Type="http://schemas.openxmlformats.org/officeDocument/2006/relationships/hyperlink" Target="http://elperroverdeverde.blogspot.com.es/?m=1" TargetMode="External"/><Relationship Id="rId1070" Type="http://schemas.openxmlformats.org/officeDocument/2006/relationships/hyperlink" Target="https://es.rt.com/6cui" TargetMode="External"/><Relationship Id="rId2121" Type="http://schemas.openxmlformats.org/officeDocument/2006/relationships/hyperlink" Target="https://www.elmundo.es/andalucia/2018/11/22/5bf70d0d22601df1438b45d8.html" TargetMode="External"/><Relationship Id="rId2359" Type="http://schemas.openxmlformats.org/officeDocument/2006/relationships/hyperlink" Target="https://buff.ly/2QjJDgZ" TargetMode="External"/><Relationship Id="rId2566" Type="http://schemas.openxmlformats.org/officeDocument/2006/relationships/hyperlink" Target="http://chng.it/VV2wDkhg" TargetMode="External"/><Relationship Id="rId2773" Type="http://schemas.openxmlformats.org/officeDocument/2006/relationships/hyperlink" Target="http://bit.ly/2AdPkWx" TargetMode="External"/><Relationship Id="rId2980" Type="http://schemas.openxmlformats.org/officeDocument/2006/relationships/hyperlink" Target="http://www.diariodeboadilla.es/" TargetMode="External"/><Relationship Id="rId300" Type="http://schemas.openxmlformats.org/officeDocument/2006/relationships/hyperlink" Target="https://pbs.twimg.com/media/DssMouuXoAUVuFA.jpg" TargetMode="External"/><Relationship Id="rId538" Type="http://schemas.openxmlformats.org/officeDocument/2006/relationships/hyperlink" Target="https://pbs.twimg.com/media/Dsr5CVpXcAAVYfb.jpg" TargetMode="External"/><Relationship Id="rId745" Type="http://schemas.openxmlformats.org/officeDocument/2006/relationships/hyperlink" Target="https://www.elconfidencial.com/espana/2018-11-23/pedro-sanchez-adelanto-electoral-superdomingo-barones_1663322/" TargetMode="External"/><Relationship Id="rId952" Type="http://schemas.openxmlformats.org/officeDocument/2006/relationships/hyperlink" Target="http://www.mhp.es/" TargetMode="External"/><Relationship Id="rId1168" Type="http://schemas.openxmlformats.org/officeDocument/2006/relationships/hyperlink" Target="https://elpais.com/internacional/2018/11/22/actualidad/1542914000_295410.html?id_externo_rsoc=TW_CM" TargetMode="External"/><Relationship Id="rId1375" Type="http://schemas.openxmlformats.org/officeDocument/2006/relationships/hyperlink" Target="https://pbs.twimg.com/media/DsqQMxlXcAAWxdn.jpg" TargetMode="External"/><Relationship Id="rId1582" Type="http://schemas.openxmlformats.org/officeDocument/2006/relationships/hyperlink" Target="https://pbs.twimg.com/media/Dsps3xGXcAA3UeR.jpg" TargetMode="External"/><Relationship Id="rId2219" Type="http://schemas.openxmlformats.org/officeDocument/2006/relationships/hyperlink" Target="https://amp.elmundo.es/espana/2018/11/21/5bf5ab23e2704ea02f8b4581.html?__twitter_impression=true" TargetMode="External"/><Relationship Id="rId2426" Type="http://schemas.openxmlformats.org/officeDocument/2006/relationships/hyperlink" Target="https://www.eldiario.es/_31d55cf9" TargetMode="External"/><Relationship Id="rId2633" Type="http://schemas.openxmlformats.org/officeDocument/2006/relationships/hyperlink" Target="https://www.nodal.am/2018/11/llega-el-presidente-espanol-pedro-sanchez-para-fortalecer-la-cooperacion-bilateral/" TargetMode="External"/><Relationship Id="rId81" Type="http://schemas.openxmlformats.org/officeDocument/2006/relationships/hyperlink" Target="https://pbs.twimg.com/media/Dsr5fLOWoAIqu4Y.jpg" TargetMode="External"/><Relationship Id="rId605" Type="http://schemas.openxmlformats.org/officeDocument/2006/relationships/hyperlink" Target="https://www.youtube.com/channel/UCi_mC-XOCIJ1vTnv3nvqHyg" TargetMode="External"/><Relationship Id="rId812" Type="http://schemas.openxmlformats.org/officeDocument/2006/relationships/hyperlink" Target="https://www.abc.es/espana/abci-malestar-bancada-socialista-retraso-sanchez-rechazar-insultos-201811222320_noticia_amp.html" TargetMode="External"/><Relationship Id="rId1028" Type="http://schemas.openxmlformats.org/officeDocument/2006/relationships/hyperlink" Target="http://pic.twitter.com/mpFWF7NKNY" TargetMode="External"/><Relationship Id="rId1235" Type="http://schemas.openxmlformats.org/officeDocument/2006/relationships/hyperlink" Target="http://www.periodistadigital.com/" TargetMode="External"/><Relationship Id="rId1442" Type="http://schemas.openxmlformats.org/officeDocument/2006/relationships/hyperlink" Target="http://informate.com.mx/" TargetMode="External"/><Relationship Id="rId1887" Type="http://schemas.openxmlformats.org/officeDocument/2006/relationships/hyperlink" Target="https://www.abc.es/internacional/abci-damas-blanco-piden-pedro-sanchez-reuna-oposicion-durante-viaje-cuba-201811202120_noticia.html" TargetMode="External"/><Relationship Id="rId2840" Type="http://schemas.openxmlformats.org/officeDocument/2006/relationships/hyperlink" Target="https://sevilla.abc.es/andalucia/huelva/sevi-condenan-pagar-mas-195600-mastectomia-tras-falso-positivo-cancer-201811191522_noticia.html" TargetMode="External"/><Relationship Id="rId2938" Type="http://schemas.openxmlformats.org/officeDocument/2006/relationships/hyperlink" Target="http://www.ppzafra.com/" TargetMode="External"/><Relationship Id="rId1302" Type="http://schemas.openxmlformats.org/officeDocument/2006/relationships/hyperlink" Target="https://pbs.twimg.com/media/DsnXQ12XQAMVLRH.jpg" TargetMode="External"/><Relationship Id="rId1747" Type="http://schemas.openxmlformats.org/officeDocument/2006/relationships/hyperlink" Target="http://www.trabajadores.cu/" TargetMode="External"/><Relationship Id="rId1954" Type="http://schemas.openxmlformats.org/officeDocument/2006/relationships/hyperlink" Target="https://pbs.twimg.com/media/DspB0-JUcAAVqmV.jpg" TargetMode="External"/><Relationship Id="rId2700" Type="http://schemas.openxmlformats.org/officeDocument/2006/relationships/hyperlink" Target="https://www.diariodecadiz.es/_4da6b08b" TargetMode="External"/><Relationship Id="rId39" Type="http://schemas.openxmlformats.org/officeDocument/2006/relationships/hyperlink" Target="https://pbs.twimg.com/media/DssjGqLWwAEvbcx.jpg" TargetMode="External"/><Relationship Id="rId1607" Type="http://schemas.openxmlformats.org/officeDocument/2006/relationships/hyperlink" Target="http://www.trabajadores.cu/" TargetMode="External"/><Relationship Id="rId1814" Type="http://schemas.openxmlformats.org/officeDocument/2006/relationships/hyperlink" Target="http://gestyy.com/wX4SUX" TargetMode="External"/><Relationship Id="rId3267" Type="http://schemas.openxmlformats.org/officeDocument/2006/relationships/hyperlink" Target="https://twitter.com/J_Zaragoza_/status/1065296090147274752" TargetMode="External"/><Relationship Id="rId188" Type="http://schemas.openxmlformats.org/officeDocument/2006/relationships/hyperlink" Target="https://pbs.twimg.com/media/DssTW0mWkAEcOi0.jpg" TargetMode="External"/><Relationship Id="rId395" Type="http://schemas.openxmlformats.org/officeDocument/2006/relationships/hyperlink" Target="http://lapatilla.com/" TargetMode="External"/><Relationship Id="rId2076" Type="http://schemas.openxmlformats.org/officeDocument/2006/relationships/hyperlink" Target="https://www.20minutos.es/noticia/3499204/0/pedro-sanchez-espana-gibraltar-si-no-hay-cambios-vetaremos-brexit/" TargetMode="External"/><Relationship Id="rId3474" Type="http://schemas.openxmlformats.org/officeDocument/2006/relationships/hyperlink" Target="http://asturgalicia.net/" TargetMode="External"/><Relationship Id="rId2283" Type="http://schemas.openxmlformats.org/officeDocument/2006/relationships/hyperlink" Target="http://www.elperiodico.com/" TargetMode="External"/><Relationship Id="rId2490" Type="http://schemas.openxmlformats.org/officeDocument/2006/relationships/hyperlink" Target="https://www.libertaddigital.com/espana/2018-11-21/pedro-sanchez-pide-a-casado-y-rufian-que-pidan-discupas-por-el-escupitajo-de-erc-a-borell-1276628638/" TargetMode="External"/><Relationship Id="rId2588" Type="http://schemas.openxmlformats.org/officeDocument/2006/relationships/hyperlink" Target="https://twitter.com/horrorlosers/status/1064907758565289984" TargetMode="External"/><Relationship Id="rId3127" Type="http://schemas.openxmlformats.org/officeDocument/2006/relationships/hyperlink" Target="https://www.facebook.com/elconservadordigital/videos/191983638375980/" TargetMode="External"/><Relationship Id="rId3334" Type="http://schemas.openxmlformats.org/officeDocument/2006/relationships/hyperlink" Target="http://www.pp.es/ruben-moreno-palanques" TargetMode="External"/><Relationship Id="rId3541" Type="http://schemas.openxmlformats.org/officeDocument/2006/relationships/hyperlink" Target="https://www.abc.es/gurmemalaga/actualidad/dani-garcia-tres-estrellas-michelin-para-su-restaurante-en-marbella/" TargetMode="External"/><Relationship Id="rId255" Type="http://schemas.openxmlformats.org/officeDocument/2006/relationships/hyperlink" Target="https://pbs.twimg.com/media/DssPavyX4AAR9w8.jpg" TargetMode="External"/><Relationship Id="rId462" Type="http://schemas.openxmlformats.org/officeDocument/2006/relationships/hyperlink" Target="https://pbs.twimg.com/media/Dsr8chtW0AAAp8o.jpg" TargetMode="External"/><Relationship Id="rId1092" Type="http://schemas.openxmlformats.org/officeDocument/2006/relationships/hyperlink" Target="http://www.plenainclusion.org/" TargetMode="External"/><Relationship Id="rId1397" Type="http://schemas.openxmlformats.org/officeDocument/2006/relationships/hyperlink" Target="http://www.sumarium.es/" TargetMode="External"/><Relationship Id="rId2143" Type="http://schemas.openxmlformats.org/officeDocument/2006/relationships/hyperlink" Target="https://okdiario.com/espana/2018/11/21/sanchez-mando-coche-oficial-vacio-valladolid-hacer-8-kms-del-aeropuerto-ciudad-3377374" TargetMode="External"/><Relationship Id="rId2350" Type="http://schemas.openxmlformats.org/officeDocument/2006/relationships/hyperlink" Target="http://pic.twitter.com/Y16DWBD1DD" TargetMode="External"/><Relationship Id="rId2795" Type="http://schemas.openxmlformats.org/officeDocument/2006/relationships/hyperlink" Target="https://youtu.be/OBEluUwFIu0" TargetMode="External"/><Relationship Id="rId3401" Type="http://schemas.openxmlformats.org/officeDocument/2006/relationships/hyperlink" Target="https://www.elmundo.es/economia/macroeconomia/2018/11/22/5bf5c0a2468aebbd188b467e.html" TargetMode="External"/><Relationship Id="rId115" Type="http://schemas.openxmlformats.org/officeDocument/2006/relationships/hyperlink" Target="https://marielaperezvalenzuela.wordpress.com/" TargetMode="External"/><Relationship Id="rId322" Type="http://schemas.openxmlformats.org/officeDocument/2006/relationships/hyperlink" Target="https://pbs.twimg.com/media/DssLPheXQAEEw1c.jpg" TargetMode="External"/><Relationship Id="rId767" Type="http://schemas.openxmlformats.org/officeDocument/2006/relationships/hyperlink" Target="http://areajugones.com/" TargetMode="External"/><Relationship Id="rId974" Type="http://schemas.openxmlformats.org/officeDocument/2006/relationships/hyperlink" Target="https://www.lasprovincias.es/politica/viaje-pedro-sanchez-cuba-20181123211321-ntrc.html" TargetMode="External"/><Relationship Id="rId2003" Type="http://schemas.openxmlformats.org/officeDocument/2006/relationships/hyperlink" Target="https://actualidad.rt.com/actualidad/296586-pedro-sanchez-hablar-theresa-may" TargetMode="External"/><Relationship Id="rId2210" Type="http://schemas.openxmlformats.org/officeDocument/2006/relationships/hyperlink" Target="http://www.abc.es/" TargetMode="External"/><Relationship Id="rId2448" Type="http://schemas.openxmlformats.org/officeDocument/2006/relationships/hyperlink" Target="http://www.marbella24horas.es/" TargetMode="External"/><Relationship Id="rId2655" Type="http://schemas.openxmlformats.org/officeDocument/2006/relationships/hyperlink" Target="https://www.aporrea.org/internacionales/n334644.html" TargetMode="External"/><Relationship Id="rId2862" Type="http://schemas.openxmlformats.org/officeDocument/2006/relationships/hyperlink" Target="http://www.pp.es/ruben-moreno-palanques" TargetMode="External"/><Relationship Id="rId627" Type="http://schemas.openxmlformats.org/officeDocument/2006/relationships/hyperlink" Target="https://okdiario.com/espana/2018/11/23/pedro-sanchez-reune-cupula-del-regimen-cubano-palacio-revolucion-3382388" TargetMode="External"/><Relationship Id="rId834" Type="http://schemas.openxmlformats.org/officeDocument/2006/relationships/hyperlink" Target="https://pbs.twimg.com/media/DsrXJs1XQAA7BkW.jpg" TargetMode="External"/><Relationship Id="rId1257" Type="http://schemas.openxmlformats.org/officeDocument/2006/relationships/hyperlink" Target="https://www.laopiniondemalaga.es/marbella/2018/11/22/pedro-sanchez-susana-diaz-finalmente/1049288.html" TargetMode="External"/><Relationship Id="rId1464" Type="http://schemas.openxmlformats.org/officeDocument/2006/relationships/hyperlink" Target="https://pbs.twimg.com/media/DsqBBfBV4AEWIPi.jpg" TargetMode="External"/><Relationship Id="rId1671" Type="http://schemas.openxmlformats.org/officeDocument/2006/relationships/hyperlink" Target="http://www.jornada.com.mx/ultimas/2018/11/22/llega-pedro-sanchez-a-cuba-en-historica-visita-9864.html" TargetMode="External"/><Relationship Id="rId2308" Type="http://schemas.openxmlformats.org/officeDocument/2006/relationships/hyperlink" Target="https://www.youtube.com/user/manuelleonaudiolibro/about" TargetMode="External"/><Relationship Id="rId2515" Type="http://schemas.openxmlformats.org/officeDocument/2006/relationships/hyperlink" Target="https://pbs.twimg.com/media/DsoIUYBW0AUwLZK.jpg" TargetMode="External"/><Relationship Id="rId2722" Type="http://schemas.openxmlformats.org/officeDocument/2006/relationships/hyperlink" Target="https://pbs.twimg.com/media/Dsny-QFVsAAUBdH.jpg" TargetMode="External"/><Relationship Id="rId901" Type="http://schemas.openxmlformats.org/officeDocument/2006/relationships/hyperlink" Target="https://www.elespanol.com/opinion/tribunas/20181123/carta-abierta-cubano-pedro-sanchez/355334465_12.html" TargetMode="External"/><Relationship Id="rId1117" Type="http://schemas.openxmlformats.org/officeDocument/2006/relationships/hyperlink" Target="https://www.ondacero.es/noticias/espana/pedro-sanchez-mantiene-oposicion-acuerdo-brexit-gibraltar_201811225bf723760cf21fd497157fc5.html" TargetMode="External"/><Relationship Id="rId1324" Type="http://schemas.openxmlformats.org/officeDocument/2006/relationships/hyperlink" Target="https://twitter.com/lauralop2002es1/status/1065776994103803904" TargetMode="External"/><Relationship Id="rId1531" Type="http://schemas.openxmlformats.org/officeDocument/2006/relationships/hyperlink" Target="https://pbs.twimg.com/media/Dsp0iXLVsAAPMV4.jpg" TargetMode="External"/><Relationship Id="rId1769" Type="http://schemas.openxmlformats.org/officeDocument/2006/relationships/hyperlink" Target="https://youtu.be/OBEluUwFIu0" TargetMode="External"/><Relationship Id="rId1976" Type="http://schemas.openxmlformats.org/officeDocument/2006/relationships/hyperlink" Target="https://twitter.com/mirthaguerramor/status/1065732576189534209" TargetMode="External"/><Relationship Id="rId3191" Type="http://schemas.openxmlformats.org/officeDocument/2006/relationships/hyperlink" Target="https://www.elconfidencial.com/espana/2018-11-21/pedro-sanchez-viaje-cuba-empresarios-sociedad-cubana-disidencia_1658610/?utm_source=twitter&amp;utm_medium=social&amp;utm_campaign=BotoneraWeb" TargetMode="External"/><Relationship Id="rId30" Type="http://schemas.openxmlformats.org/officeDocument/2006/relationships/hyperlink" Target="https://prnoticias.com/comunicacion/comunicacion-politica/20170809-cuenta-el-gabinete-de-pedro-sanchez-con-una-estrategia-de-comunicacion-cohesionada-y-planificada" TargetMode="External"/><Relationship Id="rId1629" Type="http://schemas.openxmlformats.org/officeDocument/2006/relationships/hyperlink" Target="http://www.rogelionahuel.wordpress.com/" TargetMode="External"/><Relationship Id="rId1836" Type="http://schemas.openxmlformats.org/officeDocument/2006/relationships/hyperlink" Target="http://abcblogs.abc.es/angel-exposito/public/post/la-chuleria-de-rufian-es-la-hipoteca-de-pedro-sanchez-17471.asp/" TargetMode="External"/><Relationship Id="rId3289" Type="http://schemas.openxmlformats.org/officeDocument/2006/relationships/hyperlink" Target="http://albaciudad.org/" TargetMode="External"/><Relationship Id="rId3496" Type="http://schemas.openxmlformats.org/officeDocument/2006/relationships/hyperlink" Target="http://www.hechosdehoy.com/" TargetMode="External"/><Relationship Id="rId1903" Type="http://schemas.openxmlformats.org/officeDocument/2006/relationships/hyperlink" Target="http://www.noticierodigital.com/2018/11/pedro-sanchez-llego-cuba-se-reunira-diaz-canel/" TargetMode="External"/><Relationship Id="rId2098" Type="http://schemas.openxmlformats.org/officeDocument/2006/relationships/hyperlink" Target="https://www.elindependiente.com/politica/2018/11/22/sanchez-gibraltar-no-cambios-vetaremos-brexit/?utm_source=share_buttons&amp;utm_medium=twitter&amp;utm_campaign=social_share" TargetMode="External"/><Relationship Id="rId3051" Type="http://schemas.openxmlformats.org/officeDocument/2006/relationships/hyperlink" Target="http://portaldiario.net/" TargetMode="External"/><Relationship Id="rId3149" Type="http://schemas.openxmlformats.org/officeDocument/2006/relationships/hyperlink" Target="https://www.revistavanityfair.es/poder/articulos/visita-pedro-sanchez-cuba-felipe-gonzalez-fidel-castro-fraga-suarez/34767" TargetMode="External"/><Relationship Id="rId3356" Type="http://schemas.openxmlformats.org/officeDocument/2006/relationships/hyperlink" Target="https://www.elmundo.es/espana/2018/11/21/5bf5c33022601d4e5a8b45c0.html" TargetMode="External"/><Relationship Id="rId3563" Type="http://schemas.openxmlformats.org/officeDocument/2006/relationships/hyperlink" Target="https://okdiario.com/espana/2018/11/21/ejercito-del-aire-tres-aviones-pedro-sanchez-3373984" TargetMode="External"/><Relationship Id="rId277" Type="http://schemas.openxmlformats.org/officeDocument/2006/relationships/hyperlink" Target="http://page.is/manuela-murias" TargetMode="External"/><Relationship Id="rId484" Type="http://schemas.openxmlformats.org/officeDocument/2006/relationships/hyperlink" Target="https://pbs.twimg.com/media/Dsr60MxUUAEYqvn.jpg" TargetMode="External"/><Relationship Id="rId2165" Type="http://schemas.openxmlformats.org/officeDocument/2006/relationships/hyperlink" Target="http://www.libertaddigital.com/" TargetMode="External"/><Relationship Id="rId3009" Type="http://schemas.openxmlformats.org/officeDocument/2006/relationships/hyperlink" Target="http://elpais.com/elpais/opinion.html" TargetMode="External"/><Relationship Id="rId3216" Type="http://schemas.openxmlformats.org/officeDocument/2006/relationships/hyperlink" Target="https://ift.tt/2DDghGw" TargetMode="External"/><Relationship Id="rId137" Type="http://schemas.openxmlformats.org/officeDocument/2006/relationships/hyperlink" Target="http://palencia.cnt.es/2018/10/06/memoria-historica-la-union-de-hermanos-proletarios-uhp-la-revoluci" TargetMode="External"/><Relationship Id="rId344" Type="http://schemas.openxmlformats.org/officeDocument/2006/relationships/hyperlink" Target="https://twitter.com/perezreverte/status/688395883474501632" TargetMode="External"/><Relationship Id="rId691" Type="http://schemas.openxmlformats.org/officeDocument/2006/relationships/hyperlink" Target="http://www.socialdemocratas.es/" TargetMode="External"/><Relationship Id="rId789" Type="http://schemas.openxmlformats.org/officeDocument/2006/relationships/hyperlink" Target="http://www.pp.es/ruben-moreno-palanques" TargetMode="External"/><Relationship Id="rId996" Type="http://schemas.openxmlformats.org/officeDocument/2006/relationships/hyperlink" Target="http://ow.ly/VTqg30mIQ0B" TargetMode="External"/><Relationship Id="rId2025" Type="http://schemas.openxmlformats.org/officeDocument/2006/relationships/hyperlink" Target="https://www.europapress.es/nacional/noticia-pedro-sanchez-llega-habana-primera-visita-oficial-cuba-20181122230626.html" TargetMode="External"/><Relationship Id="rId2372" Type="http://schemas.openxmlformats.org/officeDocument/2006/relationships/hyperlink" Target="http://www.ppmadrid.es/" TargetMode="External"/><Relationship Id="rId2677" Type="http://schemas.openxmlformats.org/officeDocument/2006/relationships/hyperlink" Target="https://okdiario.com/espana/2018/11/21/sanchez-mando-coche-oficial-vacio-valladolid-hacer-8-kms-del-aeropuerto-ciudad-3377374" TargetMode="External"/><Relationship Id="rId2884" Type="http://schemas.openxmlformats.org/officeDocument/2006/relationships/hyperlink" Target="https://www.elindependiente.com/politica/2018/11/22/may-defendere-la-soberania-britanica-gibraltar-fui-absolutamente-clara-pedro-sanchez/?utm_source=share_buttons&amp;utm_medium=twitter&amp;utm_campaign=social_share" TargetMode="External"/><Relationship Id="rId3423" Type="http://schemas.openxmlformats.org/officeDocument/2006/relationships/hyperlink" Target="http://pic.twitter.com/dTq8oTrVOg" TargetMode="External"/><Relationship Id="rId551" Type="http://schemas.openxmlformats.org/officeDocument/2006/relationships/hyperlink" Target="http://epmundo.com/2018/theresa-may-le-saca-las-garras-al-gobierno-de-pedro-sanchez/" TargetMode="External"/><Relationship Id="rId649" Type="http://schemas.openxmlformats.org/officeDocument/2006/relationships/hyperlink" Target="https://www.esglobal.org/que-quiere-pedro-sanchez-en-cuba/" TargetMode="External"/><Relationship Id="rId856" Type="http://schemas.openxmlformats.org/officeDocument/2006/relationships/hyperlink" Target="https://ift.tt/2BsgdrG" TargetMode="External"/><Relationship Id="rId1181" Type="http://schemas.openxmlformats.org/officeDocument/2006/relationships/hyperlink" Target="https://okdiario.com/opinion/2018/11/23/sanchez-tambien-hace-ridiculo-gibraltar-3381812" TargetMode="External"/><Relationship Id="rId1279" Type="http://schemas.openxmlformats.org/officeDocument/2006/relationships/hyperlink" Target="http://www.sajimes.blogspot.com/" TargetMode="External"/><Relationship Id="rId1486" Type="http://schemas.openxmlformats.org/officeDocument/2006/relationships/hyperlink" Target="https://goo.gl/Ma2QMV" TargetMode="External"/><Relationship Id="rId2232" Type="http://schemas.openxmlformats.org/officeDocument/2006/relationships/hyperlink" Target="https://t.co/2DTGaC8VLv" TargetMode="External"/><Relationship Id="rId2537" Type="http://schemas.openxmlformats.org/officeDocument/2006/relationships/hyperlink" Target="https://pbs.twimg.com/media/DsoGcX5WkAAPhhg.jpg" TargetMode="External"/><Relationship Id="rId204" Type="http://schemas.openxmlformats.org/officeDocument/2006/relationships/hyperlink" Target="https://goo.gl/SVHNhp" TargetMode="External"/><Relationship Id="rId411" Type="http://schemas.openxmlformats.org/officeDocument/2006/relationships/hyperlink" Target="https://pbs.twimg.com/media/Dsr5fLOWoAIqu4Y.jpg" TargetMode="External"/><Relationship Id="rId509" Type="http://schemas.openxmlformats.org/officeDocument/2006/relationships/hyperlink" Target="http://www.ciudadanos-cs.org/" TargetMode="External"/><Relationship Id="rId1041" Type="http://schemas.openxmlformats.org/officeDocument/2006/relationships/hyperlink" Target="https://twitter.com/sanchezcastejon/status/1065874501395714048" TargetMode="External"/><Relationship Id="rId1139" Type="http://schemas.openxmlformats.org/officeDocument/2006/relationships/hyperlink" Target="http://www.blog-pacoestevez.es/" TargetMode="External"/><Relationship Id="rId1346" Type="http://schemas.openxmlformats.org/officeDocument/2006/relationships/hyperlink" Target="http://epmundo.com/2018/theresa-may-le-saca-las-garras-al-gobierno-de-pedro-sanchez/" TargetMode="External"/><Relationship Id="rId1693" Type="http://schemas.openxmlformats.org/officeDocument/2006/relationships/hyperlink" Target="https://actualidad.rt.com/actualidad/296596-pedro-sanchez-reune-miguel-diaz?utm_source=rss&amp;utm_medium=rss&amp;utm_campaign=all" TargetMode="External"/><Relationship Id="rId1998" Type="http://schemas.openxmlformats.org/officeDocument/2006/relationships/hyperlink" Target="http://www.diariodeavisos.com/" TargetMode="External"/><Relationship Id="rId2744" Type="http://schemas.openxmlformats.org/officeDocument/2006/relationships/hyperlink" Target="https://www.aporrea.org/internacionales/n334644.html" TargetMode="External"/><Relationship Id="rId2951" Type="http://schemas.openxmlformats.org/officeDocument/2006/relationships/hyperlink" Target="https://www.facebook.com/josealberto.rodriguezarroyo.9" TargetMode="External"/><Relationship Id="rId716" Type="http://schemas.openxmlformats.org/officeDocument/2006/relationships/hyperlink" Target="https://pbs.twimg.com/media/DsrkZlrUUAEI-eW.jpg" TargetMode="External"/><Relationship Id="rId923" Type="http://schemas.openxmlformats.org/officeDocument/2006/relationships/hyperlink" Target="https://ift.tt/2OY4OmY" TargetMode="External"/><Relationship Id="rId1553" Type="http://schemas.openxmlformats.org/officeDocument/2006/relationships/hyperlink" Target="https://ift.tt/2PNVPu4" TargetMode="External"/><Relationship Id="rId1760" Type="http://schemas.openxmlformats.org/officeDocument/2006/relationships/hyperlink" Target="http://maisisolnaciente.wordpress.com/" TargetMode="External"/><Relationship Id="rId1858" Type="http://schemas.openxmlformats.org/officeDocument/2006/relationships/hyperlink" Target="http://www.trabajoparatodos.es/" TargetMode="External"/><Relationship Id="rId2604" Type="http://schemas.openxmlformats.org/officeDocument/2006/relationships/hyperlink" Target="http://www.nuevarevolucion.es/" TargetMode="External"/><Relationship Id="rId2811" Type="http://schemas.openxmlformats.org/officeDocument/2006/relationships/hyperlink" Target="https://pbs.twimg.com/media/DsnrbF1VYAA1bCS.jpg" TargetMode="External"/><Relationship Id="rId52" Type="http://schemas.openxmlformats.org/officeDocument/2006/relationships/hyperlink" Target="http://www.despertardeoaxaca.com/" TargetMode="External"/><Relationship Id="rId1206" Type="http://schemas.openxmlformats.org/officeDocument/2006/relationships/hyperlink" Target="https://okdiario.com/espana/2018/11/23/pedro-sanchez-reune-cupula-del-regimen-cubano-palacio-revolucion-3382388" TargetMode="External"/><Relationship Id="rId1413" Type="http://schemas.openxmlformats.org/officeDocument/2006/relationships/hyperlink" Target="http://resistenciav58.com/" TargetMode="External"/><Relationship Id="rId1620" Type="http://schemas.openxmlformats.org/officeDocument/2006/relationships/hyperlink" Target="http://www.vinalopodigital.net/" TargetMode="External"/><Relationship Id="rId2909" Type="http://schemas.openxmlformats.org/officeDocument/2006/relationships/hyperlink" Target="http://foros.foxinver.com/" TargetMode="External"/><Relationship Id="rId3073" Type="http://schemas.openxmlformats.org/officeDocument/2006/relationships/hyperlink" Target="https://www.elmundo.es/espana/2018/11/21/5bf5ab23e2704ea02f8b4581.html" TargetMode="External"/><Relationship Id="rId3280" Type="http://schemas.openxmlformats.org/officeDocument/2006/relationships/hyperlink" Target="https://okdiario.com/espana/2018/11/21/sanchez-mando-coche-oficial-vacio-valladolid-hacer-8-kms-del-aeropuerto-ciudad-3377374" TargetMode="External"/><Relationship Id="rId1718" Type="http://schemas.openxmlformats.org/officeDocument/2006/relationships/hyperlink" Target="http://noticieros.televisa.com/" TargetMode="External"/><Relationship Id="rId1925" Type="http://schemas.openxmlformats.org/officeDocument/2006/relationships/hyperlink" Target="http://lapatilla.com/" TargetMode="External"/><Relationship Id="rId3140" Type="http://schemas.openxmlformats.org/officeDocument/2006/relationships/hyperlink" Target="https://www.elmundo.es/espana/2018/11/21/5bf52116268e3e98538b45df.html" TargetMode="External"/><Relationship Id="rId3378" Type="http://schemas.openxmlformats.org/officeDocument/2006/relationships/hyperlink" Target="https://cubanosporelmundo.com/2018/11/22/pedro-sanchez-reunirse-raul-castro/?utm_source=dlvr.it&amp;utm_medium=twitter" TargetMode="External"/><Relationship Id="rId299" Type="http://schemas.openxmlformats.org/officeDocument/2006/relationships/hyperlink" Target="https://ift.tt/2Afms0m" TargetMode="External"/><Relationship Id="rId2187" Type="http://schemas.openxmlformats.org/officeDocument/2006/relationships/hyperlink" Target="https://pbs.twimg.com/media/DsoslB_X4AALEBw.jpg" TargetMode="External"/><Relationship Id="rId2394" Type="http://schemas.openxmlformats.org/officeDocument/2006/relationships/hyperlink" Target="http://diariolasamericas.com/" TargetMode="External"/><Relationship Id="rId3238" Type="http://schemas.openxmlformats.org/officeDocument/2006/relationships/hyperlink" Target="https://pbs.twimg.com/media/DsnEInJVsAAcDpm.jpg" TargetMode="External"/><Relationship Id="rId3445" Type="http://schemas.openxmlformats.org/officeDocument/2006/relationships/hyperlink" Target="http://www.novomedinilla.com/?m=1" TargetMode="External"/><Relationship Id="rId159" Type="http://schemas.openxmlformats.org/officeDocument/2006/relationships/hyperlink" Target="http://entumovil.cu/" TargetMode="External"/><Relationship Id="rId366" Type="http://schemas.openxmlformats.org/officeDocument/2006/relationships/hyperlink" Target="http://bit.ly/2QgbbqC" TargetMode="External"/><Relationship Id="rId573" Type="http://schemas.openxmlformats.org/officeDocument/2006/relationships/hyperlink" Target="https://www.elperiodico.com/es/politica/20181122/pnv-arranca-pedro-sanchez-competencias-para-euskadi-7162799?utm_source=twitter&amp;utm_medium=social" TargetMode="External"/><Relationship Id="rId780" Type="http://schemas.openxmlformats.org/officeDocument/2006/relationships/hyperlink" Target="http://pic.twitter.com/55JaKsmwFv" TargetMode="External"/><Relationship Id="rId2047" Type="http://schemas.openxmlformats.org/officeDocument/2006/relationships/hyperlink" Target="https://twitter.com/sanchezcastejon/status/1065718710466428928" TargetMode="External"/><Relationship Id="rId2254" Type="http://schemas.openxmlformats.org/officeDocument/2006/relationships/hyperlink" Target="https://pbs.twimg.com/media/DsokqnqW0AE-U-z.jpg" TargetMode="External"/><Relationship Id="rId2461" Type="http://schemas.openxmlformats.org/officeDocument/2006/relationships/hyperlink" Target="https://pbs.twimg.com/media/DsoPEaSVAAAtelj.jpg" TargetMode="External"/><Relationship Id="rId2699" Type="http://schemas.openxmlformats.org/officeDocument/2006/relationships/hyperlink" Target="http://www.v24news.com/" TargetMode="External"/><Relationship Id="rId3000" Type="http://schemas.openxmlformats.org/officeDocument/2006/relationships/hyperlink" Target="https://pbs.twimg.com/media/DsncktMXoAAMXlg.jpg" TargetMode="External"/><Relationship Id="rId3305" Type="http://schemas.openxmlformats.org/officeDocument/2006/relationships/hyperlink" Target="https://www.radiotelevisionmarti.com/a/pedro-sanchez-viaja-cuba-medio-interrogantes-abiertas/221278.html" TargetMode="External"/><Relationship Id="rId3512" Type="http://schemas.openxmlformats.org/officeDocument/2006/relationships/hyperlink" Target="https://www.jotdown.es/2018/02/murcia-una-escena-teatral-con-denominacion-de-origen/" TargetMode="External"/><Relationship Id="rId226" Type="http://schemas.openxmlformats.org/officeDocument/2006/relationships/hyperlink" Target="http://eltocuyoaldia.blogspot.com/" TargetMode="External"/><Relationship Id="rId433" Type="http://schemas.openxmlformats.org/officeDocument/2006/relationships/hyperlink" Target="https://pbs.twimg.com/media/DssATB4XoAEsJny.jpg" TargetMode="External"/><Relationship Id="rId878" Type="http://schemas.openxmlformats.org/officeDocument/2006/relationships/hyperlink" Target="https://www.revistavanityfair.es/poder/articulos/pedro-sanchez-aviones-oficiales-cuba-aznar-azores-rey-presidente-guapo/34817" TargetMode="External"/><Relationship Id="rId1063" Type="http://schemas.openxmlformats.org/officeDocument/2006/relationships/hyperlink" Target="https://pbs.twimg.com/media/DsoVtm8X4AAJwJK.jpg" TargetMode="External"/><Relationship Id="rId1270" Type="http://schemas.openxmlformats.org/officeDocument/2006/relationships/hyperlink" Target="http://www.oswaldopaya.org/" TargetMode="External"/><Relationship Id="rId2114" Type="http://schemas.openxmlformats.org/officeDocument/2006/relationships/hyperlink" Target="https://www.elindependiente.com/politica/2018/11/22/sanchez-gibraltar-no-cambios-vetaremos-brexit/?utm_source=share_buttons&amp;utm_medium=twitter&amp;utm_campaign=social_share" TargetMode="External"/><Relationship Id="rId2559" Type="http://schemas.openxmlformats.org/officeDocument/2006/relationships/hyperlink" Target="https://www.elmundo.es/internacional/2018/11/22/5bf6b01b468aeb352a8b463a.html" TargetMode="External"/><Relationship Id="rId2766" Type="http://schemas.openxmlformats.org/officeDocument/2006/relationships/hyperlink" Target="http://ppaviles.es/" TargetMode="External"/><Relationship Id="rId2973" Type="http://schemas.openxmlformats.org/officeDocument/2006/relationships/hyperlink" Target="https://twitter.com/Desayunos_tve/status/1065520394440863744" TargetMode="External"/><Relationship Id="rId640" Type="http://schemas.openxmlformats.org/officeDocument/2006/relationships/hyperlink" Target="https://okdiario.com/economia/empresas/2018/11/23/sanchez-premia-constructora-investigada-caso-acuamed-lleva-avion-cuba-3380485" TargetMode="External"/><Relationship Id="rId738" Type="http://schemas.openxmlformats.org/officeDocument/2006/relationships/hyperlink" Target="https://gaceta.es/mundo/pedro-sanchez-propone-la-visita-de-los-reyes-a-cuba-en-2019-20181123-1014/" TargetMode="External"/><Relationship Id="rId945" Type="http://schemas.openxmlformats.org/officeDocument/2006/relationships/hyperlink" Target="http://www.europapress.tv/" TargetMode="External"/><Relationship Id="rId1368" Type="http://schemas.openxmlformats.org/officeDocument/2006/relationships/hyperlink" Target="http://www.owwnews.com/" TargetMode="External"/><Relationship Id="rId1575" Type="http://schemas.openxmlformats.org/officeDocument/2006/relationships/hyperlink" Target="https://pbs.twimg.com/media/DspvQWsVYAET5QY.jpg" TargetMode="External"/><Relationship Id="rId1782" Type="http://schemas.openxmlformats.org/officeDocument/2006/relationships/hyperlink" Target="https://elportaluco.com/pedro-sanchez-llega-a-cuba-para-normalizar-las-relaciones/" TargetMode="External"/><Relationship Id="rId2321" Type="http://schemas.openxmlformats.org/officeDocument/2006/relationships/hyperlink" Target="https://www.elmundo.es/economia/macroeconomia/2018/11/21/5bf542fa46163f8e9e8b4669.html" TargetMode="External"/><Relationship Id="rId2419" Type="http://schemas.openxmlformats.org/officeDocument/2006/relationships/hyperlink" Target="https://elcomunista.net/2018/11/22/llegara-hoy-a-cuba-pedro-sanchez-presidente-del-gobierno-de-espana/" TargetMode="External"/><Relationship Id="rId2626" Type="http://schemas.openxmlformats.org/officeDocument/2006/relationships/hyperlink" Target="https://pbs.twimg.com/media/DsisBMoXoAALDGp.jpg" TargetMode="External"/><Relationship Id="rId2833" Type="http://schemas.openxmlformats.org/officeDocument/2006/relationships/hyperlink" Target="https://pbs.twimg.com/media/Dsnp9VoUwAAaPM0.jpg" TargetMode="External"/><Relationship Id="rId74" Type="http://schemas.openxmlformats.org/officeDocument/2006/relationships/hyperlink" Target="https://pbs.twimg.com/media/DsseLWHXQAEXXrP.jpg" TargetMode="External"/><Relationship Id="rId500" Type="http://schemas.openxmlformats.org/officeDocument/2006/relationships/hyperlink" Target="http://pic.twitter.com/lkxSW3Gsj8" TargetMode="External"/><Relationship Id="rId805" Type="http://schemas.openxmlformats.org/officeDocument/2006/relationships/hyperlink" Target="http://bit.ly/2FMr7N0" TargetMode="External"/><Relationship Id="rId1130" Type="http://schemas.openxmlformats.org/officeDocument/2006/relationships/hyperlink" Target="https://pbs.twimg.com/media/Dsq8LA-XQAEUE6L.jpg" TargetMode="External"/><Relationship Id="rId1228" Type="http://schemas.openxmlformats.org/officeDocument/2006/relationships/hyperlink" Target="https://pbs.twimg.com/media/DsqszrPV4AEXUds.jpg" TargetMode="External"/><Relationship Id="rId1435" Type="http://schemas.openxmlformats.org/officeDocument/2006/relationships/hyperlink" Target="https://okdiario.com/espana/2018/11/23/pedro-sanchez-reune-cupula-del-regimen-cubano-palacio-revolucion-3382388" TargetMode="External"/><Relationship Id="rId1642" Type="http://schemas.openxmlformats.org/officeDocument/2006/relationships/hyperlink" Target="https://pbs.twimg.com/media/DspgB88VAAAt_YT.jpg" TargetMode="External"/><Relationship Id="rId1947" Type="http://schemas.openxmlformats.org/officeDocument/2006/relationships/hyperlink" Target="http://cubaadiario.blogspot.com/" TargetMode="External"/><Relationship Id="rId2900" Type="http://schemas.openxmlformats.org/officeDocument/2006/relationships/hyperlink" Target="http://www.elmundo.es/internacional/2018/11/22/5bf6b01b468aeb352a8b463a.html.COMO" TargetMode="External"/><Relationship Id="rId3095" Type="http://schemas.openxmlformats.org/officeDocument/2006/relationships/hyperlink" Target="https://pbs.twimg.com/media/DsnRcYiWkAIxbIF.jpg" TargetMode="External"/><Relationship Id="rId1502" Type="http://schemas.openxmlformats.org/officeDocument/2006/relationships/hyperlink" Target="http://martianos.ning.com/" TargetMode="External"/><Relationship Id="rId1807" Type="http://schemas.openxmlformats.org/officeDocument/2006/relationships/hyperlink" Target="https://es.rt.com/6cui" TargetMode="External"/><Relationship Id="rId3162" Type="http://schemas.openxmlformats.org/officeDocument/2006/relationships/hyperlink" Target="http://donatiu8.blogspot.hu/" TargetMode="External"/><Relationship Id="rId290" Type="http://schemas.openxmlformats.org/officeDocument/2006/relationships/hyperlink" Target="http://zoevaldes.net/2018/11/23/pedro-sanchez-premia-a-torrescamara-constructora-investigada-en-el-caso-acuamed-y-la-lleva-en-su-avion-a-cuba/" TargetMode="External"/><Relationship Id="rId388" Type="http://schemas.openxmlformats.org/officeDocument/2006/relationships/hyperlink" Target="https://elpais.com/diario/2007/12/30/eps/1198999617_850215.html" TargetMode="External"/><Relationship Id="rId2069" Type="http://schemas.openxmlformats.org/officeDocument/2006/relationships/hyperlink" Target="http://dlvr.it/QrtfBX" TargetMode="External"/><Relationship Id="rId3022" Type="http://schemas.openxmlformats.org/officeDocument/2006/relationships/hyperlink" Target="https://bit.ly/2DQT58N" TargetMode="External"/><Relationship Id="rId3467" Type="http://schemas.openxmlformats.org/officeDocument/2006/relationships/hyperlink" Target="https://bit.ly/2BqqeG4" TargetMode="External"/><Relationship Id="rId150" Type="http://schemas.openxmlformats.org/officeDocument/2006/relationships/hyperlink" Target="http://www.periodistadigital.com/" TargetMode="External"/><Relationship Id="rId595" Type="http://schemas.openxmlformats.org/officeDocument/2006/relationships/hyperlink" Target="https://www.economiadigital.es/politica-y-sociedad/el-ibex-senala-el-fin-del-gobierno-de-pedro-sanchez_590507_102.html" TargetMode="External"/><Relationship Id="rId2276" Type="http://schemas.openxmlformats.org/officeDocument/2006/relationships/hyperlink" Target="http://okdiario.com/" TargetMode="External"/><Relationship Id="rId2483" Type="http://schemas.openxmlformats.org/officeDocument/2006/relationships/hyperlink" Target="https://pbs.twimg.com/media/DsoMjk3XcAA2toi.jpg" TargetMode="External"/><Relationship Id="rId2690" Type="http://schemas.openxmlformats.org/officeDocument/2006/relationships/hyperlink" Target="http://blogs.libertaddigital.com/enigmas-del-11-m/" TargetMode="External"/><Relationship Id="rId3327" Type="http://schemas.openxmlformats.org/officeDocument/2006/relationships/hyperlink" Target="https://despiertaalfuturo.blogspot.com/2018/11/bruselas-desmonta-punto-por-punto-el.html" TargetMode="External"/><Relationship Id="rId3534" Type="http://schemas.openxmlformats.org/officeDocument/2006/relationships/hyperlink" Target="https://ift.tt/2PKRJCF" TargetMode="External"/><Relationship Id="rId248" Type="http://schemas.openxmlformats.org/officeDocument/2006/relationships/hyperlink" Target="http://totbalears.com/" TargetMode="External"/><Relationship Id="rId455" Type="http://schemas.openxmlformats.org/officeDocument/2006/relationships/hyperlink" Target="https://twitter.com/rcdeportivo/status/1065941494912245761" TargetMode="External"/><Relationship Id="rId662" Type="http://schemas.openxmlformats.org/officeDocument/2006/relationships/hyperlink" Target="https://okdiario.com/espana/2018/11/23/cuando-sanchez-reprochaba-rajoy-que-bruselas-habia-tumbado-presupuestos-3380128" TargetMode="External"/><Relationship Id="rId1085" Type="http://schemas.openxmlformats.org/officeDocument/2006/relationships/hyperlink" Target="https://instagram.com/doctorwhoeldoctor/" TargetMode="External"/><Relationship Id="rId1292" Type="http://schemas.openxmlformats.org/officeDocument/2006/relationships/hyperlink" Target="https://pbs.twimg.com/media/DsqjkNhXcAARIp-.jpg" TargetMode="External"/><Relationship Id="rId2136" Type="http://schemas.openxmlformats.org/officeDocument/2006/relationships/hyperlink" Target="https://www.elmundo.es/internacional/2018/11/22/5bf6b01b468aeb352a8b463a.html" TargetMode="External"/><Relationship Id="rId2343" Type="http://schemas.openxmlformats.org/officeDocument/2006/relationships/hyperlink" Target="http://www.cope.es/lalinterna" TargetMode="External"/><Relationship Id="rId2550" Type="http://schemas.openxmlformats.org/officeDocument/2006/relationships/hyperlink" Target="http://www.citizengo.org/hazteoir/166670-no-expolie-por-segunda-vez-archivo-salamanca?tc=tw&amp;tcid=52307143" TargetMode="External"/><Relationship Id="rId2788" Type="http://schemas.openxmlformats.org/officeDocument/2006/relationships/hyperlink" Target="http://www.facebook.com/mikytoytoy" TargetMode="External"/><Relationship Id="rId2995" Type="http://schemas.openxmlformats.org/officeDocument/2006/relationships/hyperlink" Target="http://www.radiotaxijaen.es/" TargetMode="External"/><Relationship Id="rId108" Type="http://schemas.openxmlformats.org/officeDocument/2006/relationships/hyperlink" Target="http://caraotadigital.net/" TargetMode="External"/><Relationship Id="rId315" Type="http://schemas.openxmlformats.org/officeDocument/2006/relationships/hyperlink" Target="http://elespanol.com/" TargetMode="External"/><Relationship Id="rId522" Type="http://schemas.openxmlformats.org/officeDocument/2006/relationships/hyperlink" Target="http://www.telesurtv.net/" TargetMode="External"/><Relationship Id="rId967" Type="http://schemas.openxmlformats.org/officeDocument/2006/relationships/hyperlink" Target="https://elpais.com/elpais/2018/11/20/mas_se_perdio_en_la_habana/1542738968_256871.html?id_externo_rsoc=TW_CC" TargetMode="External"/><Relationship Id="rId1152" Type="http://schemas.openxmlformats.org/officeDocument/2006/relationships/hyperlink" Target="http://www.marbellaconfidencial.es/pedro-sanchez-volvera-a-participar-el-martes-27-en-la-campana-en-un-mitin-en-marbella-junto-a-susana-diaz-222354096/" TargetMode="External"/><Relationship Id="rId1597" Type="http://schemas.openxmlformats.org/officeDocument/2006/relationships/hyperlink" Target="http://cubasi.cu/cubasi-noticias-cuba-mundo-ultima-hora/item/85484-diaz-canel-y-pedro-sanchez-encabezan-firma-de-memorandos" TargetMode="External"/><Relationship Id="rId2203" Type="http://schemas.openxmlformats.org/officeDocument/2006/relationships/hyperlink" Target="http://www.elpais.com/" TargetMode="External"/><Relationship Id="rId2410" Type="http://schemas.openxmlformats.org/officeDocument/2006/relationships/hyperlink" Target="https://www.libertaddigital.com/espana/2018-11-22/pedro-sanchez-viaja-a-cuba-para-rendir-pleitesia-al-regimen-castrista-1276628700/" TargetMode="External"/><Relationship Id="rId2648" Type="http://schemas.openxmlformats.org/officeDocument/2006/relationships/hyperlink" Target="http://dlvr.it/QrsmJ8" TargetMode="External"/><Relationship Id="rId2855" Type="http://schemas.openxmlformats.org/officeDocument/2006/relationships/hyperlink" Target="http://www.iclaims.ch/" TargetMode="External"/><Relationship Id="rId96" Type="http://schemas.openxmlformats.org/officeDocument/2006/relationships/hyperlink" Target="https://okdiario.com/espana/2018/11/23/casado-reprocha-sanchez-que-no-llegue-tiempo-acuerdo-sobre-gibraltar-favorable-3383292" TargetMode="External"/><Relationship Id="rId827" Type="http://schemas.openxmlformats.org/officeDocument/2006/relationships/hyperlink" Target="http://www.corazondiscofm.com/" TargetMode="External"/><Relationship Id="rId1012" Type="http://schemas.openxmlformats.org/officeDocument/2006/relationships/hyperlink" Target="https://www.efe.com/efe/espana/politica/el-apoyo-a-las-empresas-y-la-cooperacion-cultural-centran-ultimo-dia-de-pedro-sanchez-en-cuba/10002-3821764" TargetMode="External"/><Relationship Id="rId1457" Type="http://schemas.openxmlformats.org/officeDocument/2006/relationships/hyperlink" Target="https://ift.tt/2S5nXWb" TargetMode="External"/><Relationship Id="rId1664" Type="http://schemas.openxmlformats.org/officeDocument/2006/relationships/hyperlink" Target="https://noticierouniversal.com/actualidad/pedro-sanchez-se-reune-con-la-cupula-de-la-dictadura-cubana-en-el-palacio-de-la-revolucion/" TargetMode="External"/><Relationship Id="rId1871" Type="http://schemas.openxmlformats.org/officeDocument/2006/relationships/hyperlink" Target="https://pbs.twimg.com/media/DspHfuNV4AEZ4l6.jpg" TargetMode="External"/><Relationship Id="rId2508" Type="http://schemas.openxmlformats.org/officeDocument/2006/relationships/hyperlink" Target="http://ociososmadrid.blogspot.com/" TargetMode="External"/><Relationship Id="rId2715" Type="http://schemas.openxmlformats.org/officeDocument/2006/relationships/hyperlink" Target="https://www.14ymedio.com/nacional/Sanchez-reunira-disidentes-oficial-Cuba-visita-Espana_0_2550944892.html" TargetMode="External"/><Relationship Id="rId2922" Type="http://schemas.openxmlformats.org/officeDocument/2006/relationships/hyperlink" Target="https://www.lavanguardia.com/internacional/20181122/453095361973/may-espana-soberania-britanica-gibraltar-acuerdo-brexit.html?utm_source=twitter_lv&amp;utm_medium=social" TargetMode="External"/><Relationship Id="rId1317" Type="http://schemas.openxmlformats.org/officeDocument/2006/relationships/hyperlink" Target="http://factornoticia.com/2018/11/22/polonia-pedro-sanchez-hace-lo-contrario-de-lo-que-dice/" TargetMode="External"/><Relationship Id="rId1524" Type="http://schemas.openxmlformats.org/officeDocument/2006/relationships/hyperlink" Target="http://www.analitica.com/" TargetMode="External"/><Relationship Id="rId1731" Type="http://schemas.openxmlformats.org/officeDocument/2006/relationships/hyperlink" Target="https://twitter.com/Ivnn__/status/1064978401725960199" TargetMode="External"/><Relationship Id="rId1969" Type="http://schemas.openxmlformats.org/officeDocument/2006/relationships/hyperlink" Target="https://pbs.twimg.com/media/DspAnV5X4AABhLw.jpg" TargetMode="External"/><Relationship Id="rId3184" Type="http://schemas.openxmlformats.org/officeDocument/2006/relationships/hyperlink" Target="http://www.atlas-news.com/agencia-internet/politica/Sanchez-Cuba-viaje_oficial-agenda-brexit_3_1510078978.html" TargetMode="External"/><Relationship Id="rId23" Type="http://schemas.openxmlformats.org/officeDocument/2006/relationships/hyperlink" Target="https://bit.ly/2AjDr1m" TargetMode="External"/><Relationship Id="rId1829" Type="http://schemas.openxmlformats.org/officeDocument/2006/relationships/hyperlink" Target="https://pbs.twimg.com/media/DspM7GGVYAAPzaO.jpg" TargetMode="External"/><Relationship Id="rId3391" Type="http://schemas.openxmlformats.org/officeDocument/2006/relationships/hyperlink" Target="https://wp.me/p8a6rH-2jJ" TargetMode="External"/><Relationship Id="rId3489" Type="http://schemas.openxmlformats.org/officeDocument/2006/relationships/hyperlink" Target="https://okdiario.com/espana/2018/11/21/sanchez-mando-coche-oficial-vacio-valladolid-hacer-8-kms-del-aeropuerto-ciudad-3377374" TargetMode="External"/><Relationship Id="rId2298" Type="http://schemas.openxmlformats.org/officeDocument/2006/relationships/hyperlink" Target="https://twitter.com/mayshit_/status/1065680641432408064" TargetMode="External"/><Relationship Id="rId3044" Type="http://schemas.openxmlformats.org/officeDocument/2006/relationships/hyperlink" Target="https://pbs.twimg.com/media/DsnXgHmXQAERC7N.jpg" TargetMode="External"/><Relationship Id="rId3251" Type="http://schemas.openxmlformats.org/officeDocument/2006/relationships/hyperlink" Target="http://www.astridportero.com/" TargetMode="External"/><Relationship Id="rId3349" Type="http://schemas.openxmlformats.org/officeDocument/2006/relationships/hyperlink" Target="https://www.esglobal.org/que-quiere-pedro-sanchez-en-cuba/" TargetMode="External"/><Relationship Id="rId3556" Type="http://schemas.openxmlformats.org/officeDocument/2006/relationships/hyperlink" Target="http://fomentoenvivo.wordpress.com/" TargetMode="External"/><Relationship Id="rId172" Type="http://schemas.openxmlformats.org/officeDocument/2006/relationships/hyperlink" Target="https://pbs.twimg.com/media/DssVetqX4AA33BC.jpg" TargetMode="External"/><Relationship Id="rId477" Type="http://schemas.openxmlformats.org/officeDocument/2006/relationships/hyperlink" Target="http://abc.es/" TargetMode="External"/><Relationship Id="rId684" Type="http://schemas.openxmlformats.org/officeDocument/2006/relationships/hyperlink" Target="https://www.esdiario.com/238194049/La-prensa-castrista-ya-trata-a-Pedro-Sanchez-de-aexcelentisimoa.html" TargetMode="External"/><Relationship Id="rId2060" Type="http://schemas.openxmlformats.org/officeDocument/2006/relationships/hyperlink" Target="http://ver.20m.es/dlw8r2" TargetMode="External"/><Relationship Id="rId2158" Type="http://schemas.openxmlformats.org/officeDocument/2006/relationships/hyperlink" Target="https://casoaislado.com/miles-espanoles-critican-pedro-sanchez-piden-dimision-tras-cargarse-al-abogado-del-estado-dimite-ya-traidor/" TargetMode="External"/><Relationship Id="rId2365" Type="http://schemas.openxmlformats.org/officeDocument/2006/relationships/hyperlink" Target="https://www.diariosur.es/elecciones/andaluzas/protesta-taxistas-obliga-20181122203058-nt.html" TargetMode="External"/><Relationship Id="rId3111" Type="http://schemas.openxmlformats.org/officeDocument/2006/relationships/hyperlink" Target="https://pbs.twimg.com/media/DsnRcYiWkAIxbIF.jpg" TargetMode="External"/><Relationship Id="rId3209" Type="http://schemas.openxmlformats.org/officeDocument/2006/relationships/hyperlink" Target="https://pbs.twimg.com/media/DsnHH-4XoAEUQmr.jpg" TargetMode="External"/><Relationship Id="rId337" Type="http://schemas.openxmlformats.org/officeDocument/2006/relationships/hyperlink" Target="https://casoaislado.com/begona-gomez-gala-ego-se-acopla-al-viaje-pedro-sanchez-cuba-tratar-la-protagonista/" TargetMode="External"/><Relationship Id="rId891" Type="http://schemas.openxmlformats.org/officeDocument/2006/relationships/hyperlink" Target="https://pbs.twimg.com/media/DsrP1ByWoAA73o9.jpg" TargetMode="External"/><Relationship Id="rId989" Type="http://schemas.openxmlformats.org/officeDocument/2006/relationships/hyperlink" Target="https://www.eleconomista.es/internacional/noticias/9538646/11/18/Espana-y-Cuba-crean-un-mecanismo-politico-para-abordar-los-derechos-humanos-en-la-transicion-del-pais.html" TargetMode="External"/><Relationship Id="rId2018" Type="http://schemas.openxmlformats.org/officeDocument/2006/relationships/hyperlink" Target="http://www.latemotiv.com/" TargetMode="External"/><Relationship Id="rId2572" Type="http://schemas.openxmlformats.org/officeDocument/2006/relationships/hyperlink" Target="http://bit.ly/2KsEJvJ" TargetMode="External"/><Relationship Id="rId2877" Type="http://schemas.openxmlformats.org/officeDocument/2006/relationships/hyperlink" Target="https://www.facebook.com/isabelrodriguez.realestate" TargetMode="External"/><Relationship Id="rId3416" Type="http://schemas.openxmlformats.org/officeDocument/2006/relationships/hyperlink" Target="https://www.madridiario.es/462428/garrido-puerta-moncloa-autonomia-600-millones" TargetMode="External"/><Relationship Id="rId544" Type="http://schemas.openxmlformats.org/officeDocument/2006/relationships/hyperlink" Target="https://www.elconfidencial.com/espana/2018-11-23/pedro-sanchez-adelanto-electoral-superdomingo-barones_1663322/?utm_source=twitter&amp;utm_medium=social&amp;utm_campaign=BotoneraWeb" TargetMode="External"/><Relationship Id="rId751" Type="http://schemas.openxmlformats.org/officeDocument/2006/relationships/hyperlink" Target="http://epmundo.com/2018/theresa-may-le-saca-las-garras-al-gobierno-de-pedro-sanchez/" TargetMode="External"/><Relationship Id="rId849" Type="http://schemas.openxmlformats.org/officeDocument/2006/relationships/hyperlink" Target="http://www.dxtcampeon.com/" TargetMode="External"/><Relationship Id="rId1174" Type="http://schemas.openxmlformats.org/officeDocument/2006/relationships/hyperlink" Target="http://www.elpais.com/" TargetMode="External"/><Relationship Id="rId1381" Type="http://schemas.openxmlformats.org/officeDocument/2006/relationships/hyperlink" Target="http://www.radiobayamo.icrt.cu/" TargetMode="External"/><Relationship Id="rId1479" Type="http://schemas.openxmlformats.org/officeDocument/2006/relationships/hyperlink" Target="http://www.americateve.com/" TargetMode="External"/><Relationship Id="rId1686" Type="http://schemas.openxmlformats.org/officeDocument/2006/relationships/hyperlink" Target="https://www.elindependiente.com/politica/2018/11/22/sanchez-gibraltar-no-cambios-vetaremos-brexit/?utm_source=share_buttons&amp;utm_medium=twitter&amp;utm_campaign=social_share" TargetMode="External"/><Relationship Id="rId2225" Type="http://schemas.openxmlformats.org/officeDocument/2006/relationships/hyperlink" Target="https://pbs.twimg.com/media/DsoowemXoAUYP0W.jpg" TargetMode="External"/><Relationship Id="rId2432" Type="http://schemas.openxmlformats.org/officeDocument/2006/relationships/hyperlink" Target="https://m.eldiario.es/politica/Marlaska-Pedro-Sanchez-candidato-Madrid_0_836066553.html" TargetMode="External"/><Relationship Id="rId404" Type="http://schemas.openxmlformats.org/officeDocument/2006/relationships/hyperlink" Target="http://www.albervazquez.com/" TargetMode="External"/><Relationship Id="rId611" Type="http://schemas.openxmlformats.org/officeDocument/2006/relationships/hyperlink" Target="https://okdiario.com/opinion/2018/11/22/indignidad-pedro-sanchez-borrell-3380779" TargetMode="External"/><Relationship Id="rId1034" Type="http://schemas.openxmlformats.org/officeDocument/2006/relationships/hyperlink" Target="http://bit.ly/2BsqTXw" TargetMode="External"/><Relationship Id="rId1241" Type="http://schemas.openxmlformats.org/officeDocument/2006/relationships/hyperlink" Target="http://bit.ly/2AbadSc" TargetMode="External"/><Relationship Id="rId1339" Type="http://schemas.openxmlformats.org/officeDocument/2006/relationships/hyperlink" Target="https://pbs.twimg.com/media/Dsqbp-nXcAEZpjd.jpg" TargetMode="External"/><Relationship Id="rId1893" Type="http://schemas.openxmlformats.org/officeDocument/2006/relationships/hyperlink" Target="https://blogs.elconfidencial.com/espana/al-grano/2018-10-22/pedro-sanchez-gobierno-podemos_1633627/?utm_source=facebook&amp;utm_medium=social&amp;utm_campaign=BotoneraWeb" TargetMode="External"/><Relationship Id="rId2737" Type="http://schemas.openxmlformats.org/officeDocument/2006/relationships/hyperlink" Target="http://reportecatolicolaico.com/2018/11/felipe-gonzalez-avisa-sobre-sus-socios-a-pedro-sanchez-llegan-con-votos-y-gobiernan-con-botas/" TargetMode="External"/><Relationship Id="rId2944" Type="http://schemas.openxmlformats.org/officeDocument/2006/relationships/hyperlink" Target="http://www.ulceras.net/" TargetMode="External"/><Relationship Id="rId709" Type="http://schemas.openxmlformats.org/officeDocument/2006/relationships/hyperlink" Target="http://www.americateve.com/noticias" TargetMode="External"/><Relationship Id="rId916" Type="http://schemas.openxmlformats.org/officeDocument/2006/relationships/hyperlink" Target="https://ift.tt/2FDj59s" TargetMode="External"/><Relationship Id="rId1101" Type="http://schemas.openxmlformats.org/officeDocument/2006/relationships/hyperlink" Target="https://pbs.twimg.com/media/Dsq97XCXcAAHw1i.jpg" TargetMode="External"/><Relationship Id="rId1546" Type="http://schemas.openxmlformats.org/officeDocument/2006/relationships/hyperlink" Target="http://www.sumarium.es/" TargetMode="External"/><Relationship Id="rId1753" Type="http://schemas.openxmlformats.org/officeDocument/2006/relationships/hyperlink" Target="http://operacionforex.com/" TargetMode="External"/><Relationship Id="rId1960" Type="http://schemas.openxmlformats.org/officeDocument/2006/relationships/hyperlink" Target="https://www.diariolasamericas.com/c4167024" TargetMode="External"/><Relationship Id="rId2804" Type="http://schemas.openxmlformats.org/officeDocument/2006/relationships/hyperlink" Target="https://www.14ymedio.com/reportajes/yumas-cosa-pepes-familia_0_2551544825.html" TargetMode="External"/><Relationship Id="rId45" Type="http://schemas.openxmlformats.org/officeDocument/2006/relationships/hyperlink" Target="https://pbs.twimg.com/media/DssiDXaXQAYdCAx.jpg" TargetMode="External"/><Relationship Id="rId1406" Type="http://schemas.openxmlformats.org/officeDocument/2006/relationships/hyperlink" Target="http://bit.ly/2TDEHoO" TargetMode="External"/><Relationship Id="rId1613" Type="http://schemas.openxmlformats.org/officeDocument/2006/relationships/hyperlink" Target="http://noticiasvenezuela.org/" TargetMode="External"/><Relationship Id="rId1820" Type="http://schemas.openxmlformats.org/officeDocument/2006/relationships/hyperlink" Target="https://www.eldiario.es/sociedad/Memoria-Historica-desbloquear-Pedro-Sanchez_0_778672963.html" TargetMode="External"/><Relationship Id="rId3066" Type="http://schemas.openxmlformats.org/officeDocument/2006/relationships/hyperlink" Target="http://www.artemisaradioweb.icrt.cu/index.php?lang=es" TargetMode="External"/><Relationship Id="rId3273" Type="http://schemas.openxmlformats.org/officeDocument/2006/relationships/hyperlink" Target="http://www.murciapsoe.es/" TargetMode="External"/><Relationship Id="rId3480" Type="http://schemas.openxmlformats.org/officeDocument/2006/relationships/hyperlink" Target="https://www.larazon.es/espana/pedro-sanchez-no-se-reunira-en-su-viaje-a-cuba-con-los-grupos-opositores-IH20630495" TargetMode="External"/><Relationship Id="rId194" Type="http://schemas.openxmlformats.org/officeDocument/2006/relationships/hyperlink" Target="https://okdiario.com/economia/empresas/2018/11/23/sanchez-premia-constructora-investigada-caso-acuamed-lleva-avion-cuba-3380485" TargetMode="External"/><Relationship Id="rId1918" Type="http://schemas.openxmlformats.org/officeDocument/2006/relationships/hyperlink" Target="http://www.noticierodigital.com/2018/11/pedro-sanchez-llego-cuba-se-reunira-diaz-canel/" TargetMode="External"/><Relationship Id="rId2082" Type="http://schemas.openxmlformats.org/officeDocument/2006/relationships/hyperlink" Target="http://luismiguelfuentes.blogspot.com.es/" TargetMode="External"/><Relationship Id="rId3133" Type="http://schemas.openxmlformats.org/officeDocument/2006/relationships/hyperlink" Target="http://www.periodico26.cu/" TargetMode="External"/><Relationship Id="rId3578" Type="http://schemas.openxmlformats.org/officeDocument/2006/relationships/hyperlink" Target="https://www.lavanguardia.com/economia/20181122/453091485297/espana-cuba-pedro-sanchez-visita-empresas.html?utm_source=twitter_lv&amp;utm_medium=social" TargetMode="External"/><Relationship Id="rId261" Type="http://schemas.openxmlformats.org/officeDocument/2006/relationships/hyperlink" Target="https://www.eldiario.es/_32001629" TargetMode="External"/><Relationship Id="rId499" Type="http://schemas.openxmlformats.org/officeDocument/2006/relationships/hyperlink" Target="https://twitter.com/CsLaRioja/status/1065627412816412678" TargetMode="External"/><Relationship Id="rId2387" Type="http://schemas.openxmlformats.org/officeDocument/2006/relationships/hyperlink" Target="http://www.radioestrella.eu/" TargetMode="External"/><Relationship Id="rId2594" Type="http://schemas.openxmlformats.org/officeDocument/2006/relationships/hyperlink" Target="https://www.levante-emv.com/economia/2018/11/22/pedro-sanchez-cree-bankia-deba/1798553.html" TargetMode="External"/><Relationship Id="rId3340" Type="http://schemas.openxmlformats.org/officeDocument/2006/relationships/hyperlink" Target="http://pic.twitter.com/2HA9L0evsX" TargetMode="External"/><Relationship Id="rId3438" Type="http://schemas.openxmlformats.org/officeDocument/2006/relationships/hyperlink" Target="http://www.ppmadrid.es/" TargetMode="External"/><Relationship Id="rId359" Type="http://schemas.openxmlformats.org/officeDocument/2006/relationships/hyperlink" Target="https://www.elmundo.es/andalucia/2018/11/21/5bf597c7e2704e03438b47b8.html" TargetMode="External"/><Relationship Id="rId566" Type="http://schemas.openxmlformats.org/officeDocument/2006/relationships/hyperlink" Target="https://www.abc.es/espana/madrid/abci-promesas-para-madrid-pedro-sanchez-hecho-garrido-201811230157_noticia.html" TargetMode="External"/><Relationship Id="rId773" Type="http://schemas.openxmlformats.org/officeDocument/2006/relationships/hyperlink" Target="https://pbs.twimg.com/media/Dsrd-7GUwAEN48-.jpg" TargetMode="External"/><Relationship Id="rId1196" Type="http://schemas.openxmlformats.org/officeDocument/2006/relationships/hyperlink" Target="https://pbs.twimg.com/media/Dsqw59fX4AAQPz3.jpg" TargetMode="External"/><Relationship Id="rId2247" Type="http://schemas.openxmlformats.org/officeDocument/2006/relationships/hyperlink" Target="https://www.periodistadigital.com/periodismo/prensa/2018/11/22/alfonso-ussia-borra-sonrisa-egolatra-sanchez-manda-volando-psiquiatrico.shtml" TargetMode="External"/><Relationship Id="rId2454" Type="http://schemas.openxmlformats.org/officeDocument/2006/relationships/hyperlink" Target="http://www.citizengo.org/hazteoir/166670-no-expolie-por-segunda-vez-archivo-salamanca?tc=tw&amp;tcid=52307916" TargetMode="External"/><Relationship Id="rId2899" Type="http://schemas.openxmlformats.org/officeDocument/2006/relationships/hyperlink" Target="https://ift.tt/2DP9WIY" TargetMode="External"/><Relationship Id="rId3200" Type="http://schemas.openxmlformats.org/officeDocument/2006/relationships/hyperlink" Target="http://tinyurl.com/y8xlyfnn" TargetMode="External"/><Relationship Id="rId3505" Type="http://schemas.openxmlformats.org/officeDocument/2006/relationships/hyperlink" Target="http://ahoradigital.net/" TargetMode="External"/><Relationship Id="rId121" Type="http://schemas.openxmlformats.org/officeDocument/2006/relationships/hyperlink" Target="http://bit.ly/2PP87Cb" TargetMode="External"/><Relationship Id="rId219" Type="http://schemas.openxmlformats.org/officeDocument/2006/relationships/hyperlink" Target="https://pbs.twimg.com/media/DssRqLyU0AAOrmK.jpg" TargetMode="External"/><Relationship Id="rId426" Type="http://schemas.openxmlformats.org/officeDocument/2006/relationships/hyperlink" Target="https://twitter.com/LORENT_SALEH/status/1065934789692325889" TargetMode="External"/><Relationship Id="rId633" Type="http://schemas.openxmlformats.org/officeDocument/2006/relationships/hyperlink" Target="https://www.esdiario.com/74852870/Sanchez-paga-la-novatada-con-May-y-Gibraltar-y-ahora-no-sabe-como-arreglarlo.html" TargetMode="External"/><Relationship Id="rId980" Type="http://schemas.openxmlformats.org/officeDocument/2006/relationships/hyperlink" Target="http://www.pp.es/" TargetMode="External"/><Relationship Id="rId1056" Type="http://schemas.openxmlformats.org/officeDocument/2006/relationships/hyperlink" Target="http://bit.ly/2R4yH6X" TargetMode="External"/><Relationship Id="rId1263" Type="http://schemas.openxmlformats.org/officeDocument/2006/relationships/hyperlink" Target="https://bit.ly/2Rcls4t" TargetMode="External"/><Relationship Id="rId2107" Type="http://schemas.openxmlformats.org/officeDocument/2006/relationships/hyperlink" Target="http://www.rtve.es/a/4853400/" TargetMode="External"/><Relationship Id="rId2314" Type="http://schemas.openxmlformats.org/officeDocument/2006/relationships/hyperlink" Target="https://www.aporrea.org/internacionales/n334644.html" TargetMode="External"/><Relationship Id="rId2661" Type="http://schemas.openxmlformats.org/officeDocument/2006/relationships/hyperlink" Target="http://www.acn.cu/cuba/39276-llegara-hoy-a-cuba-pedro-sanchez-perez-presidente-del-gobierno-de-espana" TargetMode="External"/><Relationship Id="rId2759" Type="http://schemas.openxmlformats.org/officeDocument/2006/relationships/hyperlink" Target="https://www.elmundo.es/internacional/2018/11/22/5bf6b01b468aeb352a8b463a.html" TargetMode="External"/><Relationship Id="rId2966" Type="http://schemas.openxmlformats.org/officeDocument/2006/relationships/hyperlink" Target="https://www.elconfidencial.com/espana/cataluna/2018-11-21/erc-pide-pedro-sanchez-evite-elecciones_1658806/?utm_campaign=BotoneraWebapp&amp;utm_source=facebook&amp;utm_medium=social" TargetMode="External"/><Relationship Id="rId840" Type="http://schemas.openxmlformats.org/officeDocument/2006/relationships/hyperlink" Target="https://pbs.twimg.com/media/Dsp_8LHU0AAs8Y3.jpg" TargetMode="External"/><Relationship Id="rId938" Type="http://schemas.openxmlformats.org/officeDocument/2006/relationships/hyperlink" Target="https://pbs.twimg.com/media/DsrLODkU4AA-tp8.jpg" TargetMode="External"/><Relationship Id="rId1470" Type="http://schemas.openxmlformats.org/officeDocument/2006/relationships/hyperlink" Target="https://pbs.twimg.com/media/DsLJkLCXQAAq392.jpg" TargetMode="External"/><Relationship Id="rId1568" Type="http://schemas.openxmlformats.org/officeDocument/2006/relationships/hyperlink" Target="http://www.reforma.com/internacional" TargetMode="External"/><Relationship Id="rId1775" Type="http://schemas.openxmlformats.org/officeDocument/2006/relationships/hyperlink" Target="http://eldiario.es/" TargetMode="External"/><Relationship Id="rId2521" Type="http://schemas.openxmlformats.org/officeDocument/2006/relationships/hyperlink" Target="https://www.europapress.es/andalucia/noticia-pedro-sanchez-volvera-participar-martes-27-campana-mitin-marbella-junto-susana-diaz-20181122192705.html" TargetMode="External"/><Relationship Id="rId2619" Type="http://schemas.openxmlformats.org/officeDocument/2006/relationships/hyperlink" Target="http://hazteoir.org/" TargetMode="External"/><Relationship Id="rId2826" Type="http://schemas.openxmlformats.org/officeDocument/2006/relationships/hyperlink" Target="http://www.cmhw.cu/" TargetMode="External"/><Relationship Id="rId67" Type="http://schemas.openxmlformats.org/officeDocument/2006/relationships/hyperlink" Target="http://epmundo.com/2018/theresa-may-le-saca-las-garras-al-gobierno-de-pedro-sanchez/" TargetMode="External"/><Relationship Id="rId700" Type="http://schemas.openxmlformats.org/officeDocument/2006/relationships/hyperlink" Target="https://www.mambiaccion.com/2018/11/carta-abierta-de-la-omct-al-presidente.html?spref=fb" TargetMode="External"/><Relationship Id="rId1123" Type="http://schemas.openxmlformats.org/officeDocument/2006/relationships/hyperlink" Target="https://www.citizengo.org/hazteoir/166670-no-expolie-por-segunda-vez-archivo-salamanca" TargetMode="External"/><Relationship Id="rId1330" Type="http://schemas.openxmlformats.org/officeDocument/2006/relationships/hyperlink" Target="https://pbs.twimg.com/media/Dsqc40TX4AE-2hi.jpg" TargetMode="External"/><Relationship Id="rId1428" Type="http://schemas.openxmlformats.org/officeDocument/2006/relationships/hyperlink" Target="http://www.cubadiplomatica.cu/haiti/ES/Inicio.aspx" TargetMode="External"/><Relationship Id="rId1635" Type="http://schemas.openxmlformats.org/officeDocument/2006/relationships/hyperlink" Target="https://pbs.twimg.com/media/Dspjz1vU0AAqEF5.jpg" TargetMode="External"/><Relationship Id="rId1982" Type="http://schemas.openxmlformats.org/officeDocument/2006/relationships/hyperlink" Target="https://pbs.twimg.com/media/Dso-dCAVYAA5RGs.jpg" TargetMode="External"/><Relationship Id="rId3088" Type="http://schemas.openxmlformats.org/officeDocument/2006/relationships/hyperlink" Target="https://angelusdemarie.tumblr.com/" TargetMode="External"/><Relationship Id="rId1842" Type="http://schemas.openxmlformats.org/officeDocument/2006/relationships/hyperlink" Target="https://noticiasvenezuela.org/microsoft-y-oracle-anuncian-acuerdo-para-compartir-plataformas-de-software-2/" TargetMode="External"/><Relationship Id="rId3295" Type="http://schemas.openxmlformats.org/officeDocument/2006/relationships/hyperlink" Target="https://www.facebook.com/pages/Espa%C3%B1oles-y-Venezolanos-Anti-Podemos/885396501484393?sk=timeline" TargetMode="External"/><Relationship Id="rId1702" Type="http://schemas.openxmlformats.org/officeDocument/2006/relationships/hyperlink" Target="http://bit.ly/2DQT58N" TargetMode="External"/><Relationship Id="rId3155" Type="http://schemas.openxmlformats.org/officeDocument/2006/relationships/hyperlink" Target="https://www.elmundo.es/espana/2018/11/21/5bf5ab23e2704ea02f8b4581.html" TargetMode="External"/><Relationship Id="rId3362" Type="http://schemas.openxmlformats.org/officeDocument/2006/relationships/hyperlink" Target="http://www.asajamurcia.com/" TargetMode="External"/><Relationship Id="rId283" Type="http://schemas.openxmlformats.org/officeDocument/2006/relationships/hyperlink" Target="https://twitter.com/albert_rivera/status/1062786920701444096" TargetMode="External"/><Relationship Id="rId490" Type="http://schemas.openxmlformats.org/officeDocument/2006/relationships/hyperlink" Target="https://www.elconfidencial.com/espana/2018-11-23/pedro-sanchez-adelanto-electoral-superdomingo-barones_1663322/" TargetMode="External"/><Relationship Id="rId2171" Type="http://schemas.openxmlformats.org/officeDocument/2006/relationships/hyperlink" Target="https://tcaeenciernes.wordpress.com/" TargetMode="External"/><Relationship Id="rId3015" Type="http://schemas.openxmlformats.org/officeDocument/2006/relationships/hyperlink" Target="https://www.libertaddigital.com/espana/2018-11-21/pedro-sanchez-pide-a-casado-y-rufian-que-pidan-discupas-por-el-escupitajo-de-erc-a-borell-1276628638/" TargetMode="External"/><Relationship Id="rId3222" Type="http://schemas.openxmlformats.org/officeDocument/2006/relationships/hyperlink" Target="http://www.vanguardia.cu/" TargetMode="External"/><Relationship Id="rId143" Type="http://schemas.openxmlformats.org/officeDocument/2006/relationships/hyperlink" Target="https://is.gd/r3ksos" TargetMode="External"/><Relationship Id="rId350" Type="http://schemas.openxmlformats.org/officeDocument/2006/relationships/hyperlink" Target="http://instagram.com/fco_cp/" TargetMode="External"/><Relationship Id="rId588" Type="http://schemas.openxmlformats.org/officeDocument/2006/relationships/hyperlink" Target="http://www.pparagon.es/" TargetMode="External"/><Relationship Id="rId795" Type="http://schemas.openxmlformats.org/officeDocument/2006/relationships/hyperlink" Target="https://pbs.twimg.com/media/Dsrbg4iWsAM6Afs.jpg" TargetMode="External"/><Relationship Id="rId2031" Type="http://schemas.openxmlformats.org/officeDocument/2006/relationships/hyperlink" Target="http://www.periodismohistoricosl.blogspot.com/" TargetMode="External"/><Relationship Id="rId2269" Type="http://schemas.openxmlformats.org/officeDocument/2006/relationships/hyperlink" Target="https://v24news.com/2018/11/la-situacin-incierta-de-gibraltar-en-el-acuerdo-de-may-para-el-brexit-debilita-la-capacidad-de-espaa-segn-pedro-snchez/" TargetMode="External"/><Relationship Id="rId2476" Type="http://schemas.openxmlformats.org/officeDocument/2006/relationships/hyperlink" Target="https://pbs.twimg.com/media/DsoNWlBWwAED9bd.jpg" TargetMode="External"/><Relationship Id="rId2683" Type="http://schemas.openxmlformats.org/officeDocument/2006/relationships/hyperlink" Target="http://bit.ly/2QbdbAm" TargetMode="External"/><Relationship Id="rId2890" Type="http://schemas.openxmlformats.org/officeDocument/2006/relationships/hyperlink" Target="http://dlvr.it/QrsR5X" TargetMode="External"/><Relationship Id="rId3527" Type="http://schemas.openxmlformats.org/officeDocument/2006/relationships/hyperlink" Target="http://www.ejercito.mde.es/unidades/Coruna/flo" TargetMode="External"/><Relationship Id="rId9" Type="http://schemas.openxmlformats.org/officeDocument/2006/relationships/hyperlink" Target="https://www.periodistadigital.com/politica/gobierno/2018/11/23/pedro-sanchez-presume-viaje-dictadura-cubana-twitter-masacra-vividor.shtml" TargetMode="External"/><Relationship Id="rId210" Type="http://schemas.openxmlformats.org/officeDocument/2006/relationships/hyperlink" Target="https://www.periodistadigital.com/politica/gobierno/2018/11/23/pedro-sanchez-presume-viaje-dictadura-cubana-twitter-masacra-vividor.shtml" TargetMode="External"/><Relationship Id="rId448" Type="http://schemas.openxmlformats.org/officeDocument/2006/relationships/hyperlink" Target="http://www.radioya.es/" TargetMode="External"/><Relationship Id="rId655" Type="http://schemas.openxmlformats.org/officeDocument/2006/relationships/hyperlink" Target="https://pbs.twimg.com/media/DsrM8tXUUAAFJQ8.jpg" TargetMode="External"/><Relationship Id="rId862" Type="http://schemas.openxmlformats.org/officeDocument/2006/relationships/hyperlink" Target="https://pbs.twimg.com/media/DsrUN2uUcAYXjC-.jpg" TargetMode="External"/><Relationship Id="rId1078" Type="http://schemas.openxmlformats.org/officeDocument/2006/relationships/hyperlink" Target="https://laeducacion.us/pedro-sanchez-primer-jefe-de-gobierno-espanol-en-visitar-cuba/" TargetMode="External"/><Relationship Id="rId1285" Type="http://schemas.openxmlformats.org/officeDocument/2006/relationships/hyperlink" Target="http://www.periodistadigital.com/opinion/politica/2018/11/23/el-okupa-pedro-sanchez-tambien-hace-el-ridiculo-en-gibraltar.shtml" TargetMode="External"/><Relationship Id="rId1492" Type="http://schemas.openxmlformats.org/officeDocument/2006/relationships/hyperlink" Target="http://www.acn.cu/cuba/39311-firman-cuba-y-espana-memorandos-de-entendimiento-para-la-cooperacion-fotos" TargetMode="External"/><Relationship Id="rId2129" Type="http://schemas.openxmlformats.org/officeDocument/2006/relationships/hyperlink" Target="http://www.elnacional.cat/es/" TargetMode="External"/><Relationship Id="rId2336" Type="http://schemas.openxmlformats.org/officeDocument/2006/relationships/hyperlink" Target="http://www.noticierouniversal.com/" TargetMode="External"/><Relationship Id="rId2543" Type="http://schemas.openxmlformats.org/officeDocument/2006/relationships/hyperlink" Target="http://www.hechosdehoy.com/" TargetMode="External"/><Relationship Id="rId2750" Type="http://schemas.openxmlformats.org/officeDocument/2006/relationships/hyperlink" Target="http://es.favstar.fm/users/hezmick" TargetMode="External"/><Relationship Id="rId2988" Type="http://schemas.openxmlformats.org/officeDocument/2006/relationships/hyperlink" Target="https://twitter.com/Marsais_/status/1064929143517839361" TargetMode="External"/><Relationship Id="rId308" Type="http://schemas.openxmlformats.org/officeDocument/2006/relationships/hyperlink" Target="http://www.avesfotos.eu/" TargetMode="External"/><Relationship Id="rId515" Type="http://schemas.openxmlformats.org/officeDocument/2006/relationships/hyperlink" Target="http://ver.20m.es/dlw8r7" TargetMode="External"/><Relationship Id="rId722" Type="http://schemas.openxmlformats.org/officeDocument/2006/relationships/hyperlink" Target="https://lapaseata.net/2018/11/22/socios-pedro-sanchez-degradan-democracia/" TargetMode="External"/><Relationship Id="rId1145" Type="http://schemas.openxmlformats.org/officeDocument/2006/relationships/hyperlink" Target="https://bit.ly/2QgVqj5" TargetMode="External"/><Relationship Id="rId1352" Type="http://schemas.openxmlformats.org/officeDocument/2006/relationships/hyperlink" Target="https://pbs.twimg.com/media/Dsn1M9vXgAEBDgJ.jpg" TargetMode="External"/><Relationship Id="rId1797" Type="http://schemas.openxmlformats.org/officeDocument/2006/relationships/hyperlink" Target="https://pbs.twimg.com/media/DspQIGCVYAE7VFl.jpg" TargetMode="External"/><Relationship Id="rId2403" Type="http://schemas.openxmlformats.org/officeDocument/2006/relationships/hyperlink" Target="https://www.elmundo.es/espana/2018/11/21/5bf5ab23e2704ea02f8b4581.html" TargetMode="External"/><Relationship Id="rId2848" Type="http://schemas.openxmlformats.org/officeDocument/2006/relationships/hyperlink" Target="http://humanistas.net/" TargetMode="External"/><Relationship Id="rId89" Type="http://schemas.openxmlformats.org/officeDocument/2006/relationships/hyperlink" Target="https://www.elmundo.es/espana/2018/11/21/5bf563b4e5fdea305a8b45c1.html" TargetMode="External"/><Relationship Id="rId1005" Type="http://schemas.openxmlformats.org/officeDocument/2006/relationships/hyperlink" Target="https://ift.tt/2FLGTrs" TargetMode="External"/><Relationship Id="rId1212" Type="http://schemas.openxmlformats.org/officeDocument/2006/relationships/hyperlink" Target="http://www.ondacero.es/masdeuno/" TargetMode="External"/><Relationship Id="rId1657" Type="http://schemas.openxmlformats.org/officeDocument/2006/relationships/hyperlink" Target="http://geopoliting.com/" TargetMode="External"/><Relationship Id="rId1864" Type="http://schemas.openxmlformats.org/officeDocument/2006/relationships/hyperlink" Target="https://www.eldiario.es/_31d55cf9" TargetMode="External"/><Relationship Id="rId2610" Type="http://schemas.openxmlformats.org/officeDocument/2006/relationships/hyperlink" Target="http://guiltybit.com/" TargetMode="External"/><Relationship Id="rId2708" Type="http://schemas.openxmlformats.org/officeDocument/2006/relationships/hyperlink" Target="http://www.cuartopoder.es/" TargetMode="External"/><Relationship Id="rId2915" Type="http://schemas.openxmlformats.org/officeDocument/2006/relationships/hyperlink" Target="http://eleconomista.es/" TargetMode="External"/><Relationship Id="rId1517" Type="http://schemas.openxmlformats.org/officeDocument/2006/relationships/hyperlink" Target="http://epmundo.com/" TargetMode="External"/><Relationship Id="rId1724" Type="http://schemas.openxmlformats.org/officeDocument/2006/relationships/hyperlink" Target="https://www.antena3.com/noticias/espana/despliegue-de-medios-de-transporte-para-llevar-de_201811215bf572120cf20582280a26b3.html" TargetMode="External"/><Relationship Id="rId3177" Type="http://schemas.openxmlformats.org/officeDocument/2006/relationships/hyperlink" Target="https://goo.gl/1vS7oy" TargetMode="External"/><Relationship Id="rId16" Type="http://schemas.openxmlformats.org/officeDocument/2006/relationships/hyperlink" Target="http://bit.ly/EP_Venezuela" TargetMode="External"/><Relationship Id="rId1931" Type="http://schemas.openxmlformats.org/officeDocument/2006/relationships/hyperlink" Target="https://pbs.twimg.com/media/DspDv_VVsAAj-Pa.jpg" TargetMode="External"/><Relationship Id="rId3037" Type="http://schemas.openxmlformats.org/officeDocument/2006/relationships/hyperlink" Target="http://youtu.be/1XYgnixCpXs?a" TargetMode="External"/><Relationship Id="rId3384" Type="http://schemas.openxmlformats.org/officeDocument/2006/relationships/hyperlink" Target="https://youtu.be/zTXmqeXQ3Bo" TargetMode="External"/><Relationship Id="rId2193" Type="http://schemas.openxmlformats.org/officeDocument/2006/relationships/hyperlink" Target="http://ow.ly/buf530mICLY" TargetMode="External"/><Relationship Id="rId2498" Type="http://schemas.openxmlformats.org/officeDocument/2006/relationships/hyperlink" Target="https://pbs.twimg.com/media/DsoLB5EU0AALMcN.jpg" TargetMode="External"/><Relationship Id="rId3244" Type="http://schemas.openxmlformats.org/officeDocument/2006/relationships/hyperlink" Target="http://www.trabajadores.cu/" TargetMode="External"/><Relationship Id="rId3451" Type="http://schemas.openxmlformats.org/officeDocument/2006/relationships/hyperlink" Target="http://www.hechosdehoy.com/" TargetMode="External"/><Relationship Id="rId3549" Type="http://schemas.openxmlformats.org/officeDocument/2006/relationships/hyperlink" Target="http://www.martinoticias.com/" TargetMode="External"/><Relationship Id="rId165" Type="http://schemas.openxmlformats.org/officeDocument/2006/relationships/hyperlink" Target="https://pbs.twimg.com/media/DssWO2hUUAAhx8H.jpg" TargetMode="External"/><Relationship Id="rId372" Type="http://schemas.openxmlformats.org/officeDocument/2006/relationships/hyperlink" Target="https://pbs.twimg.com/media/DssGoL0U4AAoYJZ.jpg" TargetMode="External"/><Relationship Id="rId677" Type="http://schemas.openxmlformats.org/officeDocument/2006/relationships/hyperlink" Target="https://okdiario.com/espana/2018/11/23/cuando-sanchez-reprochaba-rajoy-que-bruselas-habia-tumbado-presupuestos-3380128/amp" TargetMode="External"/><Relationship Id="rId2053" Type="http://schemas.openxmlformats.org/officeDocument/2006/relationships/hyperlink" Target="https://youtu.be/nfsQEBv0ZVA" TargetMode="External"/><Relationship Id="rId2260" Type="http://schemas.openxmlformats.org/officeDocument/2006/relationships/hyperlink" Target="https://elpais.com/internacional/2018/11/22/actualidad/1542914000_295410.html" TargetMode="External"/><Relationship Id="rId2358" Type="http://schemas.openxmlformats.org/officeDocument/2006/relationships/hyperlink" Target="https://www.facebook.com/citytv.com.co/" TargetMode="External"/><Relationship Id="rId3104" Type="http://schemas.openxmlformats.org/officeDocument/2006/relationships/hyperlink" Target="https://pbs.twimg.com/media/Dsmq4ymWkAArss-.jpg" TargetMode="External"/><Relationship Id="rId3311" Type="http://schemas.openxmlformats.org/officeDocument/2006/relationships/hyperlink" Target="http://pic.twitter.com/aakdt7f4Pj" TargetMode="External"/><Relationship Id="rId232" Type="http://schemas.openxmlformats.org/officeDocument/2006/relationships/hyperlink" Target="https://ift.tt/2S3v7Kk" TargetMode="External"/><Relationship Id="rId884" Type="http://schemas.openxmlformats.org/officeDocument/2006/relationships/hyperlink" Target="https://www.elconfidencial.com/amp/espana/2018-11-23/pedro-sanchez-adelanto-electoral-superdomingo-barones_1663322/" TargetMode="External"/><Relationship Id="rId2120" Type="http://schemas.openxmlformats.org/officeDocument/2006/relationships/hyperlink" Target="https://okdiario.com/espana/2018/11/21/ejercito-del-aire-tres-aviones-pedro-sanchez-3373984" TargetMode="External"/><Relationship Id="rId2565" Type="http://schemas.openxmlformats.org/officeDocument/2006/relationships/hyperlink" Target="http://shr.gs/mFvYK9Q" TargetMode="External"/><Relationship Id="rId2772" Type="http://schemas.openxmlformats.org/officeDocument/2006/relationships/hyperlink" Target="https://www.spreaker.com/user/radiocable/lacafeterafreesahara-un-pueblo-en-resist" TargetMode="External"/><Relationship Id="rId3409" Type="http://schemas.openxmlformats.org/officeDocument/2006/relationships/hyperlink" Target="https://pbs.twimg.com/media/DsmxUWDWwAAxy4a.jpg" TargetMode="External"/><Relationship Id="rId537" Type="http://schemas.openxmlformats.org/officeDocument/2006/relationships/hyperlink" Target="https://www.youtube.com/c/ElPeriodistaCamorrista" TargetMode="External"/><Relationship Id="rId744" Type="http://schemas.openxmlformats.org/officeDocument/2006/relationships/hyperlink" Target="https://pbs.twimg.com/media/DsrhO9vXgAAzbB0.jpg" TargetMode="External"/><Relationship Id="rId951" Type="http://schemas.openxmlformats.org/officeDocument/2006/relationships/hyperlink" Target="http://ow.ly/iaaK30mIqqk" TargetMode="External"/><Relationship Id="rId1167" Type="http://schemas.openxmlformats.org/officeDocument/2006/relationships/hyperlink" Target="http://blogs.libertaddigital.com/enigmas-del-11-m/" TargetMode="External"/><Relationship Id="rId1374" Type="http://schemas.openxmlformats.org/officeDocument/2006/relationships/hyperlink" Target="http://tinyurl.com/y82bxjyz" TargetMode="External"/><Relationship Id="rId1581" Type="http://schemas.openxmlformats.org/officeDocument/2006/relationships/hyperlink" Target="https://www.facebook.com/Radiocuervouruguay/photos/a.652598391502983/1930869587009184/?type=3&amp;__xts__%5B0%5D=68.ARCTlc8MeBoRlDUyLNw74AtMi4fbIrNGALT8_dsgxgAv3JZ0g1vlWgpKHmziv6sZfLLbs6QpSNwGfl8n3pfDrqQ6wIjpX-Q55oTKN7bODET1XZt9KKB2RJZX2_DecJEENiH_tFmkfq1IRzrLi4iJrzfA-tZBFLgEtd2udp1f6X2JtJn2CdkiWYKEa15rA4Kz2SvZ0zX0y7Q_dEaTmneFaDVdk4sYaG_dO_PfLADX-lyTktdNVaOc3TuGxiyIgnxf34bPgdWa93HbtN_u1jTCODfKEHisCxxt1c2gZP0D7oavQZf_malh64ZIdOFECOWp0J3QIlfsM10yEj-2X2uRlfyDlQ&amp;__tn__=-R" TargetMode="External"/><Relationship Id="rId1679" Type="http://schemas.openxmlformats.org/officeDocument/2006/relationships/hyperlink" Target="http://www.noticierodigital.com/" TargetMode="External"/><Relationship Id="rId2218" Type="http://schemas.openxmlformats.org/officeDocument/2006/relationships/hyperlink" Target="http://www.elperiodico.com/es/politica" TargetMode="External"/><Relationship Id="rId2425" Type="http://schemas.openxmlformats.org/officeDocument/2006/relationships/hyperlink" Target="http://www.eltiempo.com/" TargetMode="External"/><Relationship Id="rId2632" Type="http://schemas.openxmlformats.org/officeDocument/2006/relationships/hyperlink" Target="http://www.socialdemocratas.es/" TargetMode="External"/><Relationship Id="rId80" Type="http://schemas.openxmlformats.org/officeDocument/2006/relationships/hyperlink" Target="https://twitter.com/CiudadanosCs/status/1065938656991563776" TargetMode="External"/><Relationship Id="rId604" Type="http://schemas.openxmlformats.org/officeDocument/2006/relationships/hyperlink" Target="https://youtu.be/qfvBz2Mwv20" TargetMode="External"/><Relationship Id="rId811" Type="http://schemas.openxmlformats.org/officeDocument/2006/relationships/hyperlink" Target="http://fernanmedrano.wordpress.com/" TargetMode="External"/><Relationship Id="rId1027" Type="http://schemas.openxmlformats.org/officeDocument/2006/relationships/hyperlink" Target="https://twitter.com/entretiniebla/status/1065669349258813440" TargetMode="External"/><Relationship Id="rId1234" Type="http://schemas.openxmlformats.org/officeDocument/2006/relationships/hyperlink" Target="https://www.periodistadigital.com/periodismo/prensa/2018/11/23/escupitajo-elpais-oposicion-cubana-elogiando-pedro-sanchez-no-reuna-diaz-canel-brexit-gibraltar-borrell.shtml" TargetMode="External"/><Relationship Id="rId1441" Type="http://schemas.openxmlformats.org/officeDocument/2006/relationships/hyperlink" Target="http://tinyurl.com/yb2ocyqf" TargetMode="External"/><Relationship Id="rId1886" Type="http://schemas.openxmlformats.org/officeDocument/2006/relationships/hyperlink" Target="http://www.pressdigital.es/" TargetMode="External"/><Relationship Id="rId2937" Type="http://schemas.openxmlformats.org/officeDocument/2006/relationships/hyperlink" Target="https://okdiario.com/espana/2018/11/21/sanchez-mando-coche-oficial-vacio-valladolid-hacer-8-kms-del-aeropuerto-ciudad-3377374" TargetMode="External"/><Relationship Id="rId909" Type="http://schemas.openxmlformats.org/officeDocument/2006/relationships/hyperlink" Target="https://ideas.economiadigital.es/" TargetMode="External"/><Relationship Id="rId1301" Type="http://schemas.openxmlformats.org/officeDocument/2006/relationships/hyperlink" Target="https://goo.gl/ZCUo7w" TargetMode="External"/><Relationship Id="rId1539" Type="http://schemas.openxmlformats.org/officeDocument/2006/relationships/hyperlink" Target="https://mundo.sputniknews.com/americalatina/201811231083625188-visita-jefe-gobierno-espana-cuba/" TargetMode="External"/><Relationship Id="rId1746" Type="http://schemas.openxmlformats.org/officeDocument/2006/relationships/hyperlink" Target="http://www.trabajadores.cu/20181122/presidente-del-gobierno-espanol-llega-a-cuba-en-visita-oficial/" TargetMode="External"/><Relationship Id="rId1953" Type="http://schemas.openxmlformats.org/officeDocument/2006/relationships/hyperlink" Target="http://www.rtve.es/noticias/mas-24/" TargetMode="External"/><Relationship Id="rId3199" Type="http://schemas.openxmlformats.org/officeDocument/2006/relationships/hyperlink" Target="http://www.vanguardia.cu/" TargetMode="External"/><Relationship Id="rId38" Type="http://schemas.openxmlformats.org/officeDocument/2006/relationships/hyperlink" Target="http://14ymedio.com/" TargetMode="External"/><Relationship Id="rId1606" Type="http://schemas.openxmlformats.org/officeDocument/2006/relationships/hyperlink" Target="https://pbs.twimg.com/media/DspWlWjUUAA-tF5.jpg" TargetMode="External"/><Relationship Id="rId1813" Type="http://schemas.openxmlformats.org/officeDocument/2006/relationships/hyperlink" Target="http://islafamosa.wordpress.com/" TargetMode="External"/><Relationship Id="rId3059" Type="http://schemas.openxmlformats.org/officeDocument/2006/relationships/hyperlink" Target="http://www.portal-cuba.com/" TargetMode="External"/><Relationship Id="rId3266" Type="http://schemas.openxmlformats.org/officeDocument/2006/relationships/hyperlink" Target="http://goo.gl/alerts/ES1av" TargetMode="External"/><Relationship Id="rId3473" Type="http://schemas.openxmlformats.org/officeDocument/2006/relationships/hyperlink" Target="http://www.periodistadigital.tv/este-es-el-momento-penoso-que-vivio-pedro-sanchez-al-saludar-al-primer-ministro-portugues_edf51e3eb.html" TargetMode="External"/><Relationship Id="rId187" Type="http://schemas.openxmlformats.org/officeDocument/2006/relationships/hyperlink" Target="http://bit.ly/2Fyl8vg" TargetMode="External"/><Relationship Id="rId394" Type="http://schemas.openxmlformats.org/officeDocument/2006/relationships/hyperlink" Target="http://j.mp/2FAPBsH" TargetMode="External"/><Relationship Id="rId2075" Type="http://schemas.openxmlformats.org/officeDocument/2006/relationships/hyperlink" Target="http://www.joseantoniollorente.com/" TargetMode="External"/><Relationship Id="rId2282" Type="http://schemas.openxmlformats.org/officeDocument/2006/relationships/hyperlink" Target="http://elperiodi.co/ucoat1" TargetMode="External"/><Relationship Id="rId3126" Type="http://schemas.openxmlformats.org/officeDocument/2006/relationships/hyperlink" Target="https://okdiario.com/espana/2018/11/21/sanchez-mando-coche-oficial-vacio-valladolid-hacer-8-kms-del-aeropuerto-ciudad-3377374" TargetMode="External"/><Relationship Id="rId254" Type="http://schemas.openxmlformats.org/officeDocument/2006/relationships/hyperlink" Target="https://ift.tt/2AfmOUK" TargetMode="External"/><Relationship Id="rId699" Type="http://schemas.openxmlformats.org/officeDocument/2006/relationships/hyperlink" Target="https://www.esdiario.com/secciones/1/89/autor/autores.html" TargetMode="External"/><Relationship Id="rId1091" Type="http://schemas.openxmlformats.org/officeDocument/2006/relationships/hyperlink" Target="https://pbs.twimg.com/media/Dsq_x5VXQAAxmFI.jpg" TargetMode="External"/><Relationship Id="rId2587" Type="http://schemas.openxmlformats.org/officeDocument/2006/relationships/hyperlink" Target="http://www.impactocna.com/" TargetMode="External"/><Relationship Id="rId2794" Type="http://schemas.openxmlformats.org/officeDocument/2006/relationships/hyperlink" Target="http://www.diariodenavarra.es/noticias/deportes/portada/" TargetMode="External"/><Relationship Id="rId3333" Type="http://schemas.openxmlformats.org/officeDocument/2006/relationships/hyperlink" Target="https://okdiario.com/espana/2018/11/21/sanchez-mando-coche-oficial-vacio-valladolid-hacer-8-kms-del-aeropuerto-ciudad-3377374" TargetMode="External"/><Relationship Id="rId3540" Type="http://schemas.openxmlformats.org/officeDocument/2006/relationships/hyperlink" Target="http://www.efedocanalisis.com/" TargetMode="External"/><Relationship Id="rId114" Type="http://schemas.openxmlformats.org/officeDocument/2006/relationships/hyperlink" Target="https://www.prensa-latina.cu/index.php?o=rn&amp;id=231025&amp;SEO=cuba-y-espana-fortalecen-nexos-con-visita-de-pedro-sanchez" TargetMode="External"/><Relationship Id="rId461" Type="http://schemas.openxmlformats.org/officeDocument/2006/relationships/hyperlink" Target="http://diario.es/" TargetMode="External"/><Relationship Id="rId559" Type="http://schemas.openxmlformats.org/officeDocument/2006/relationships/hyperlink" Target="http://www.ugr.es/local/agros" TargetMode="External"/><Relationship Id="rId766" Type="http://schemas.openxmlformats.org/officeDocument/2006/relationships/hyperlink" Target="https://www.elespanol.com/opinion/tribunas/20181123/carta-abierta-cubano-pedro-sanchez/355334465_12.html" TargetMode="External"/><Relationship Id="rId1189" Type="http://schemas.openxmlformats.org/officeDocument/2006/relationships/hyperlink" Target="https://www.elconfidencial.com/espana/2018-11-23/pedro-sanchez-adelanto-electoral-superdomingo-barones_1663322/" TargetMode="External"/><Relationship Id="rId1396" Type="http://schemas.openxmlformats.org/officeDocument/2006/relationships/hyperlink" Target="https://pbs.twimg.com/media/Dsp8s58WkAAWXiY.jpg" TargetMode="External"/><Relationship Id="rId2142" Type="http://schemas.openxmlformats.org/officeDocument/2006/relationships/hyperlink" Target="http://www.bobestropajo.com/" TargetMode="External"/><Relationship Id="rId2447" Type="http://schemas.openxmlformats.org/officeDocument/2006/relationships/hyperlink" Target="https://pbs.twimg.com/media/DsoRH3fWsAU8FkT.jpg" TargetMode="External"/><Relationship Id="rId3400" Type="http://schemas.openxmlformats.org/officeDocument/2006/relationships/hyperlink" Target="http://bit.ly/2qYLpbV" TargetMode="External"/><Relationship Id="rId321" Type="http://schemas.openxmlformats.org/officeDocument/2006/relationships/hyperlink" Target="https://www.eldiario.es/politica/Gobierno-Sanchez-Consejo-Europeo-Gibraltar_0_838866473.html" TargetMode="External"/><Relationship Id="rId419" Type="http://schemas.openxmlformats.org/officeDocument/2006/relationships/hyperlink" Target="http://dlvr.it/QrwqLH" TargetMode="External"/><Relationship Id="rId626" Type="http://schemas.openxmlformats.org/officeDocument/2006/relationships/hyperlink" Target="http://www.sumarium.es/" TargetMode="External"/><Relationship Id="rId973" Type="http://schemas.openxmlformats.org/officeDocument/2006/relationships/hyperlink" Target="http://www.citizengo.org/hazteoir/166670-no-expolie-por-segunda-vez-archivo-salamanca?tc=tw&amp;tcid=52314267" TargetMode="External"/><Relationship Id="rId1049" Type="http://schemas.openxmlformats.org/officeDocument/2006/relationships/hyperlink" Target="https://ift.tt/2ziZANG" TargetMode="External"/><Relationship Id="rId1256" Type="http://schemas.openxmlformats.org/officeDocument/2006/relationships/hyperlink" Target="http://www.periodistadigital.com/" TargetMode="External"/><Relationship Id="rId2002" Type="http://schemas.openxmlformats.org/officeDocument/2006/relationships/hyperlink" Target="https://twitter.com/sanchezcastejon/status/1065719004923342850" TargetMode="External"/><Relationship Id="rId2307" Type="http://schemas.openxmlformats.org/officeDocument/2006/relationships/hyperlink" Target="http://youtu.be/OBEluUwFIu0?a" TargetMode="External"/><Relationship Id="rId2654" Type="http://schemas.openxmlformats.org/officeDocument/2006/relationships/hyperlink" Target="http://pic.twitter.com/KUMearxFPM" TargetMode="External"/><Relationship Id="rId2861" Type="http://schemas.openxmlformats.org/officeDocument/2006/relationships/hyperlink" Target="https://www.elmundo.es/internacional/2018/11/22/5bf6b01b468aeb352a8b463a.html" TargetMode="External"/><Relationship Id="rId2959" Type="http://schemas.openxmlformats.org/officeDocument/2006/relationships/hyperlink" Target="https://okdiario.com/espana/2018/11/21/sanchez-mando-coche-oficial-vacio-valladolid-hacer-8-kms-del-aeropuerto-ciudad-3377374" TargetMode="External"/><Relationship Id="rId833" Type="http://schemas.openxmlformats.org/officeDocument/2006/relationships/hyperlink" Target="http://fernanmedrano.wordpress.com/" TargetMode="External"/><Relationship Id="rId1116" Type="http://schemas.openxmlformats.org/officeDocument/2006/relationships/hyperlink" Target="http://www.carlosdiazdominguez.com/" TargetMode="External"/><Relationship Id="rId1463" Type="http://schemas.openxmlformats.org/officeDocument/2006/relationships/hyperlink" Target="http://www.elperiodico.com/es/politica" TargetMode="External"/><Relationship Id="rId1670" Type="http://schemas.openxmlformats.org/officeDocument/2006/relationships/hyperlink" Target="http://www.slaymultimedios.com/" TargetMode="External"/><Relationship Id="rId1768" Type="http://schemas.openxmlformats.org/officeDocument/2006/relationships/hyperlink" Target="https://es.rt.com/6cus" TargetMode="External"/><Relationship Id="rId2514" Type="http://schemas.openxmlformats.org/officeDocument/2006/relationships/hyperlink" Target="https://bit.ly/2PG7bjE" TargetMode="External"/><Relationship Id="rId2721" Type="http://schemas.openxmlformats.org/officeDocument/2006/relationships/hyperlink" Target="https://www.14ymedio.com/opinion/Cuba-viaje-arriesgado-Pedro-Sanchez_0_2550344946.html" TargetMode="External"/><Relationship Id="rId2819" Type="http://schemas.openxmlformats.org/officeDocument/2006/relationships/hyperlink" Target="https://pbs.twimg.com/media/DsnrjJOVsAEOZyN.jpg" TargetMode="External"/><Relationship Id="rId900" Type="http://schemas.openxmlformats.org/officeDocument/2006/relationships/hyperlink" Target="http://www.revistavanityfair.es/" TargetMode="External"/><Relationship Id="rId1323" Type="http://schemas.openxmlformats.org/officeDocument/2006/relationships/hyperlink" Target="https://pbs.twimg.com/media/DsqdZKeXQAUm0YP.jpg" TargetMode="External"/><Relationship Id="rId1530" Type="http://schemas.openxmlformats.org/officeDocument/2006/relationships/hyperlink" Target="https://v24news.com/2018/11/lo-que-esperan-los-cubanos-con-nacionalidad-espanola-de-la-visita-de-pedro-sanchez/" TargetMode="External"/><Relationship Id="rId1628" Type="http://schemas.openxmlformats.org/officeDocument/2006/relationships/hyperlink" Target="https://mundo.sputniknews.com/americalatina/201811231083624871-visita-pedro-sanchez-cuba/" TargetMode="External"/><Relationship Id="rId1975" Type="http://schemas.openxmlformats.org/officeDocument/2006/relationships/hyperlink" Target="https://pbs.twimg.com/media/Dso_WG_WoAA1o25.jpg" TargetMode="External"/><Relationship Id="rId3190" Type="http://schemas.openxmlformats.org/officeDocument/2006/relationships/hyperlink" Target="https://okdiario.com/espana/2018/11/21/sanchez-mando-coche-oficial-vacio-valladolid-hacer-8-kms-del-aeropuerto-ciudad-3377374" TargetMode="External"/><Relationship Id="rId1835" Type="http://schemas.openxmlformats.org/officeDocument/2006/relationships/hyperlink" Target="https://www.elperiodico.com/es/politica/20181122/pnv-arranca-pedro-sanchez-competencias-para-euskadi-7162799" TargetMode="External"/><Relationship Id="rId3050" Type="http://schemas.openxmlformats.org/officeDocument/2006/relationships/hyperlink" Target="https://pbs.twimg.com/media/DsnXO0eUcAEQN5I.jpg" TargetMode="External"/><Relationship Id="rId3288" Type="http://schemas.openxmlformats.org/officeDocument/2006/relationships/hyperlink" Target="http://pic.twitter.com/sP6UwcUgiv" TargetMode="External"/><Relationship Id="rId3495" Type="http://schemas.openxmlformats.org/officeDocument/2006/relationships/hyperlink" Target="https://www.hechosdehoy.com/theresa-may-y-pedro-sanchez-larga-llamada-sobre-gibraltar-70270.htm" TargetMode="External"/><Relationship Id="rId1902" Type="http://schemas.openxmlformats.org/officeDocument/2006/relationships/hyperlink" Target="http://www.cadenaazul.com/" TargetMode="External"/><Relationship Id="rId2097" Type="http://schemas.openxmlformats.org/officeDocument/2006/relationships/hyperlink" Target="https://josepgoded.wordpress.com/" TargetMode="External"/><Relationship Id="rId3148" Type="http://schemas.openxmlformats.org/officeDocument/2006/relationships/hyperlink" Target="http://www.alcantarillasocial.com/author/xuxipc/" TargetMode="External"/><Relationship Id="rId3355" Type="http://schemas.openxmlformats.org/officeDocument/2006/relationships/hyperlink" Target="https://elarconte.com/" TargetMode="External"/><Relationship Id="rId3562" Type="http://schemas.openxmlformats.org/officeDocument/2006/relationships/hyperlink" Target="http://www.hispanidad.com/" TargetMode="External"/><Relationship Id="rId276" Type="http://schemas.openxmlformats.org/officeDocument/2006/relationships/hyperlink" Target="https://www.eldiario.es/_32001629" TargetMode="External"/><Relationship Id="rId483" Type="http://schemas.openxmlformats.org/officeDocument/2006/relationships/hyperlink" Target="http://dlvr.it/QrwjZz" TargetMode="External"/><Relationship Id="rId690" Type="http://schemas.openxmlformats.org/officeDocument/2006/relationships/hyperlink" Target="https://www.economiadigital.es/politica-y-sociedad/el-ibex-senala-el-fin-del-gobierno-de-pedro-sanchez_590507_102.html" TargetMode="External"/><Relationship Id="rId2164" Type="http://schemas.openxmlformats.org/officeDocument/2006/relationships/hyperlink" Target="https://www.libertaddigital.com/espana/2018-11-22/yoani-sanchez-el-viaje-de-sanchez-a-cuba-esta-mas-inclinado-al-oficialismo-que-a-la-disidencia-1276628714/" TargetMode="External"/><Relationship Id="rId2371" Type="http://schemas.openxmlformats.org/officeDocument/2006/relationships/hyperlink" Target="https://pbs.twimg.com/media/DsoY4ksVYAARnIA.jpg" TargetMode="External"/><Relationship Id="rId3008" Type="http://schemas.openxmlformats.org/officeDocument/2006/relationships/hyperlink" Target="http://cort.as/-CKmH" TargetMode="External"/><Relationship Id="rId3215" Type="http://schemas.openxmlformats.org/officeDocument/2006/relationships/hyperlink" Target="https://www.youtube.com/c/ManuelConlyt" TargetMode="External"/><Relationship Id="rId3422" Type="http://schemas.openxmlformats.org/officeDocument/2006/relationships/hyperlink" Target="http://p.c.j.gr/" TargetMode="External"/><Relationship Id="rId136" Type="http://schemas.openxmlformats.org/officeDocument/2006/relationships/hyperlink" Target="https://m.eldiario.es/_32001629" TargetMode="External"/><Relationship Id="rId343" Type="http://schemas.openxmlformats.org/officeDocument/2006/relationships/hyperlink" Target="https://okdiario.com/espana/2018/11/23/pedro-sanchez-reune-cupula-del-regimen-cubano-palacio-revolucion-3382388?fbclid=IwAR2Fp0Nm8g1fg7lPz-FnEkWhyj0cR6SFtQKZ_r6xzb4Ge14Lrda_mTJSM28" TargetMode="External"/><Relationship Id="rId550" Type="http://schemas.openxmlformats.org/officeDocument/2006/relationships/hyperlink" Target="http://www.lyftvnews.com/" TargetMode="External"/><Relationship Id="rId788" Type="http://schemas.openxmlformats.org/officeDocument/2006/relationships/hyperlink" Target="https://www.elmundo.es/espana/2018/11/22/5bf7316746163fc0718b45db.html" TargetMode="External"/><Relationship Id="rId995" Type="http://schemas.openxmlformats.org/officeDocument/2006/relationships/hyperlink" Target="http://www.pp.es/" TargetMode="External"/><Relationship Id="rId1180" Type="http://schemas.openxmlformats.org/officeDocument/2006/relationships/hyperlink" Target="https://www.elconfidencial.com/espana/2018-11-23/pedro-sanchez-adelanto-electoral-superdomingo-barones_1663322/" TargetMode="External"/><Relationship Id="rId2024" Type="http://schemas.openxmlformats.org/officeDocument/2006/relationships/hyperlink" Target="https://pbs.twimg.com/media/Dso7DiwWoAApsc9.jpg" TargetMode="External"/><Relationship Id="rId2231" Type="http://schemas.openxmlformats.org/officeDocument/2006/relationships/hyperlink" Target="http://www.lasexta.com/elintermedio" TargetMode="External"/><Relationship Id="rId2469" Type="http://schemas.openxmlformats.org/officeDocument/2006/relationships/hyperlink" Target="https://www.elindependiente.com/politica/2018/11/22/amnistia-internacional-pide-pedro-sanchez-mas-compromiso-contra-dictadura-cubana/?utm_source=share_buttons&amp;utm_medium=twitter&amp;utm_campaign=social_share2" TargetMode="External"/><Relationship Id="rId2676" Type="http://schemas.openxmlformats.org/officeDocument/2006/relationships/hyperlink" Target="http://www.telesurtv.net/" TargetMode="External"/><Relationship Id="rId2883" Type="http://schemas.openxmlformats.org/officeDocument/2006/relationships/hyperlink" Target="http://www.lextres.com/" TargetMode="External"/><Relationship Id="rId203" Type="http://schemas.openxmlformats.org/officeDocument/2006/relationships/hyperlink" Target="https://okdiario.com/autor/liberal" TargetMode="External"/><Relationship Id="rId648" Type="http://schemas.openxmlformats.org/officeDocument/2006/relationships/hyperlink" Target="http://www.europapress.es/andalucia/" TargetMode="External"/><Relationship Id="rId855" Type="http://schemas.openxmlformats.org/officeDocument/2006/relationships/hyperlink" Target="https://www.elmundo.es/madrid/2018/11/23/5bf7067fca474131158b45ed.html" TargetMode="External"/><Relationship Id="rId1040" Type="http://schemas.openxmlformats.org/officeDocument/2006/relationships/hyperlink" Target="https://www.larazon.es/internacional/guillermo-farinas-el-viaje-de-sanchez-es-una-bofetada-a-los-que-quieren-otra-cuba-FH20634265" TargetMode="External"/><Relationship Id="rId1278" Type="http://schemas.openxmlformats.org/officeDocument/2006/relationships/hyperlink" Target="https://www.elconfidencial.com/espana/2018-11-23/pedro-sanchez-adelanto-electoral-superdomingo-barones_1663322/?utm_source=facebook&amp;utm_medium=social&amp;utm_campaign=BotoneraWeb" TargetMode="External"/><Relationship Id="rId1485" Type="http://schemas.openxmlformats.org/officeDocument/2006/relationships/hyperlink" Target="http://www.martinoticias.com/" TargetMode="External"/><Relationship Id="rId1692" Type="http://schemas.openxmlformats.org/officeDocument/2006/relationships/hyperlink" Target="https://es.rt.com/6cus" TargetMode="External"/><Relationship Id="rId2329" Type="http://schemas.openxmlformats.org/officeDocument/2006/relationships/hyperlink" Target="http://dlvr.it/QrtJ2Q" TargetMode="External"/><Relationship Id="rId2536" Type="http://schemas.openxmlformats.org/officeDocument/2006/relationships/hyperlink" Target="https://ift.tt/2AcintB" TargetMode="External"/><Relationship Id="rId2743" Type="http://schemas.openxmlformats.org/officeDocument/2006/relationships/hyperlink" Target="http://www.acn.cu/" TargetMode="External"/><Relationship Id="rId410" Type="http://schemas.openxmlformats.org/officeDocument/2006/relationships/hyperlink" Target="https://twitter.com/CiudadanosCs/status/1065938656991563776" TargetMode="External"/><Relationship Id="rId508" Type="http://schemas.openxmlformats.org/officeDocument/2006/relationships/hyperlink" Target="https://pbs.twimg.com/media/Dsr5fLOWoAIqu4Y.jpg" TargetMode="External"/><Relationship Id="rId715" Type="http://schemas.openxmlformats.org/officeDocument/2006/relationships/hyperlink" Target="http://www.juventudrebelde.cu/cuba/2018-11-22/pedro-sanchez-en-la-habana-historia-y-cooperacion" TargetMode="External"/><Relationship Id="rId922" Type="http://schemas.openxmlformats.org/officeDocument/2006/relationships/hyperlink" Target="http://www.pp.es/" TargetMode="External"/><Relationship Id="rId1138" Type="http://schemas.openxmlformats.org/officeDocument/2006/relationships/hyperlink" Target="https://www.elmundo.es/economia/macroeconomia/2018/11/21/5bf542fa46163f8e9e8b4669.html" TargetMode="External"/><Relationship Id="rId1345" Type="http://schemas.openxmlformats.org/officeDocument/2006/relationships/hyperlink" Target="https://www.elmundo.es/internacional/2018/11/22/5bf6b01b468aeb352a8b463a.html" TargetMode="External"/><Relationship Id="rId1552" Type="http://schemas.openxmlformats.org/officeDocument/2006/relationships/hyperlink" Target="https://m.facebook.com/Consumer-Credit-Counseling-in-Massachusetts-229050090848009/" TargetMode="External"/><Relationship Id="rId1997" Type="http://schemas.openxmlformats.org/officeDocument/2006/relationships/hyperlink" Target="https://pbs.twimg.com/media/Dso9eIxWkAA4qgw.jpg" TargetMode="External"/><Relationship Id="rId2603" Type="http://schemas.openxmlformats.org/officeDocument/2006/relationships/hyperlink" Target="https://pbs.twimg.com/media/Dsn-302XcAA-HaI.jpg" TargetMode="External"/><Relationship Id="rId2950" Type="http://schemas.openxmlformats.org/officeDocument/2006/relationships/hyperlink" Target="https://www.elcorreodemadrid.com/historia/958121458/Memoria-historica-olvidada-Los-asesinados-por-los-rojos-que-Pedro-Sanchez-no-podra-dar-sepultura.html?fbclid=IwAR2TBFUBpzZn9Fwc3LpkaDILkrZIbUtFy4Vd9qaeGtEslt0y0R74AhzoFnI" TargetMode="External"/><Relationship Id="rId1205" Type="http://schemas.openxmlformats.org/officeDocument/2006/relationships/hyperlink" Target="https://pbs.twimg.com/media/DsqwZHBXgAA0cCa.jpg" TargetMode="External"/><Relationship Id="rId1857" Type="http://schemas.openxmlformats.org/officeDocument/2006/relationships/hyperlink" Target="http://chng.it/8JhgJZyN" TargetMode="External"/><Relationship Id="rId2810" Type="http://schemas.openxmlformats.org/officeDocument/2006/relationships/hyperlink" Target="http://bit.ly/2DQT58N" TargetMode="External"/><Relationship Id="rId2908" Type="http://schemas.openxmlformats.org/officeDocument/2006/relationships/hyperlink" Target="https://www.actuall.com/democracia/pedro-sanchez-viaja-cuba-donde-ignorara-los-opositores-al-regimen/" TargetMode="External"/><Relationship Id="rId51" Type="http://schemas.openxmlformats.org/officeDocument/2006/relationships/hyperlink" Target="https://ift.tt/2S6loDd" TargetMode="External"/><Relationship Id="rId1412" Type="http://schemas.openxmlformats.org/officeDocument/2006/relationships/hyperlink" Target="https://buff.ly/2QvJ6Zc" TargetMode="External"/><Relationship Id="rId1717" Type="http://schemas.openxmlformats.org/officeDocument/2006/relationships/hyperlink" Target="https://noticieros.televisa.com/ultimas-noticias/cuba-gobierno-espana-visita-pedro-sanchez/" TargetMode="External"/><Relationship Id="rId1924" Type="http://schemas.openxmlformats.org/officeDocument/2006/relationships/hyperlink" Target="http://j.mp/2FAPBsH" TargetMode="External"/><Relationship Id="rId3072" Type="http://schemas.openxmlformats.org/officeDocument/2006/relationships/hyperlink" Target="http://facebook.com/miguelmarcoruiz" TargetMode="External"/><Relationship Id="rId3377" Type="http://schemas.openxmlformats.org/officeDocument/2006/relationships/hyperlink" Target="http://www.pp.es/" TargetMode="External"/><Relationship Id="rId298" Type="http://schemas.openxmlformats.org/officeDocument/2006/relationships/hyperlink" Target="http://www.facebook.com/home.php" TargetMode="External"/><Relationship Id="rId158" Type="http://schemas.openxmlformats.org/officeDocument/2006/relationships/hyperlink" Target="http://www.ccooendesa.com/" TargetMode="External"/><Relationship Id="rId2186" Type="http://schemas.openxmlformats.org/officeDocument/2006/relationships/hyperlink" Target="http://epmundo.com/2018/theresa-may-le-saca-las-garras-al-gobierno-de-pedro-sanchez/" TargetMode="External"/><Relationship Id="rId2393" Type="http://schemas.openxmlformats.org/officeDocument/2006/relationships/hyperlink" Target="https://www.diariolasamericas.com/c4166959" TargetMode="External"/><Relationship Id="rId2698" Type="http://schemas.openxmlformats.org/officeDocument/2006/relationships/hyperlink" Target="https://pbs.twimg.com/media/Dsn0O70V4AAD0nD.jpg" TargetMode="External"/><Relationship Id="rId3237" Type="http://schemas.openxmlformats.org/officeDocument/2006/relationships/hyperlink" Target="http://www.noticierodigital.com/2018/11/pedro-sanchez-no-vera-la-oposicion-no-desairar-al-castrismo-viaje-cuba/" TargetMode="External"/><Relationship Id="rId3444" Type="http://schemas.openxmlformats.org/officeDocument/2006/relationships/hyperlink" Target="https://okdiario.com/espana/2018/11/21/pedro-sanchez-no-reunira-oposicion-viaje-cuba-3377734" TargetMode="External"/><Relationship Id="rId365" Type="http://schemas.openxmlformats.org/officeDocument/2006/relationships/hyperlink" Target="http://estudioslatinoseiberoamericanos.wordpress.com/" TargetMode="External"/><Relationship Id="rId572" Type="http://schemas.openxmlformats.org/officeDocument/2006/relationships/hyperlink" Target="https://www.elnacional.cat/ca/en-directe/actualitat-23112018_3636_126.html?idComment=984501" TargetMode="External"/><Relationship Id="rId2046" Type="http://schemas.openxmlformats.org/officeDocument/2006/relationships/hyperlink" Target="https://pbs.twimg.com/media/DsjVqr6WsAAoFD8.jpg" TargetMode="External"/><Relationship Id="rId2253" Type="http://schemas.openxmlformats.org/officeDocument/2006/relationships/hyperlink" Target="http://bit.ly/2AatvqQ" TargetMode="External"/><Relationship Id="rId2460" Type="http://schemas.openxmlformats.org/officeDocument/2006/relationships/hyperlink" Target="http://dlvr.it/Qrt63K" TargetMode="External"/><Relationship Id="rId3304" Type="http://schemas.openxmlformats.org/officeDocument/2006/relationships/hyperlink" Target="http://www.democratasindependientes.org/" TargetMode="External"/><Relationship Id="rId3511" Type="http://schemas.openxmlformats.org/officeDocument/2006/relationships/hyperlink" Target="https://www.elconfidencialdigital.com/articulo/politica/moncloa-filtro-candidatura-borrell-europeas-despues-pdecat-erc-pidieran-cabeza-contrapartida-seguir-apoyando-gobierno/20181121192512118406.html" TargetMode="External"/><Relationship Id="rId225" Type="http://schemas.openxmlformats.org/officeDocument/2006/relationships/hyperlink" Target="http://bit.ly/2KrC0CR" TargetMode="External"/><Relationship Id="rId432" Type="http://schemas.openxmlformats.org/officeDocument/2006/relationships/hyperlink" Target="https://www.cope.es/a/583043" TargetMode="External"/><Relationship Id="rId877" Type="http://schemas.openxmlformats.org/officeDocument/2006/relationships/hyperlink" Target="http://www.concentradonoticias.com/" TargetMode="External"/><Relationship Id="rId1062" Type="http://schemas.openxmlformats.org/officeDocument/2006/relationships/hyperlink" Target="http://bit.ly/2OYgne2" TargetMode="External"/><Relationship Id="rId2113" Type="http://schemas.openxmlformats.org/officeDocument/2006/relationships/hyperlink" Target="https://www.20minutos.es/" TargetMode="External"/><Relationship Id="rId2320" Type="http://schemas.openxmlformats.org/officeDocument/2006/relationships/hyperlink" Target="http://www.lasexta.com/noticias/" TargetMode="External"/><Relationship Id="rId2558" Type="http://schemas.openxmlformats.org/officeDocument/2006/relationships/hyperlink" Target="http://www.libertaddigital.com/" TargetMode="External"/><Relationship Id="rId2765" Type="http://schemas.openxmlformats.org/officeDocument/2006/relationships/hyperlink" Target="https://pbs.twimg.com/media/DsnvY55X4AIXnDO.jpg" TargetMode="External"/><Relationship Id="rId2972" Type="http://schemas.openxmlformats.org/officeDocument/2006/relationships/hyperlink" Target="http://chng.it/HB94bPVp" TargetMode="External"/><Relationship Id="rId737" Type="http://schemas.openxmlformats.org/officeDocument/2006/relationships/hyperlink" Target="http://elregresodejuandemairena.blogspot.com.es/" TargetMode="External"/><Relationship Id="rId944" Type="http://schemas.openxmlformats.org/officeDocument/2006/relationships/hyperlink" Target="http://pic.twitter.com/qZGoYow8bD" TargetMode="External"/><Relationship Id="rId1367" Type="http://schemas.openxmlformats.org/officeDocument/2006/relationships/hyperlink" Target="http://owwnews.com/pedro-sanchez-llega-a-la-habana-para-su-encuentro-con-diaz-canel/" TargetMode="External"/><Relationship Id="rId1574" Type="http://schemas.openxmlformats.org/officeDocument/2006/relationships/hyperlink" Target="http://www.slaymultimedios.com/" TargetMode="External"/><Relationship Id="rId1781" Type="http://schemas.openxmlformats.org/officeDocument/2006/relationships/hyperlink" Target="http://www.elportaluco.com/" TargetMode="External"/><Relationship Id="rId2418" Type="http://schemas.openxmlformats.org/officeDocument/2006/relationships/hyperlink" Target="http://elcomunista.net/" TargetMode="External"/><Relationship Id="rId2625" Type="http://schemas.openxmlformats.org/officeDocument/2006/relationships/hyperlink" Target="http://politico.pe/alan-garcia-a-la-opinion-publica-peruana/" TargetMode="External"/><Relationship Id="rId2832" Type="http://schemas.openxmlformats.org/officeDocument/2006/relationships/hyperlink" Target="http://dlvr.it/QrsW6V" TargetMode="External"/><Relationship Id="rId73" Type="http://schemas.openxmlformats.org/officeDocument/2006/relationships/hyperlink" Target="https://www.abc.es/espana/abci-jose-daniel-ferrer-posible-liberen-presos-para-decir-visita-pedro-sanchez-cuba-sido-exito-201811230406_noticia.html" TargetMode="External"/><Relationship Id="rId804" Type="http://schemas.openxmlformats.org/officeDocument/2006/relationships/hyperlink" Target="https://www.20minutos.es/noticia/3499202/0/pedro-sanchez-viaje-cuba-reunion-diaz-canel-habana-llega/?utm_source=twitter.com&amp;utm_medium=socialshare&amp;utm_campaign=desktop" TargetMode="External"/><Relationship Id="rId1227" Type="http://schemas.openxmlformats.org/officeDocument/2006/relationships/hyperlink" Target="https://www.kenoticias.com/el-apoyo-a-las-empresas-y-la-cooperacion-cultural-centran-el-ultimo-dia-de-pedro-sanchez-en-cuba/" TargetMode="External"/><Relationship Id="rId1434" Type="http://schemas.openxmlformats.org/officeDocument/2006/relationships/hyperlink" Target="http://www.cubadiplomatica.cu/haiti/ES/Inicio.aspx" TargetMode="External"/><Relationship Id="rId1641" Type="http://schemas.openxmlformats.org/officeDocument/2006/relationships/hyperlink" Target="https://www.elnortedecastilla.es/nacional/sanchez-choca-iglesias-presupuestos-20181117211432-ntrc.html" TargetMode="External"/><Relationship Id="rId1879" Type="http://schemas.openxmlformats.org/officeDocument/2006/relationships/hyperlink" Target="http://noticiasvenezuela.org/" TargetMode="External"/><Relationship Id="rId3094" Type="http://schemas.openxmlformats.org/officeDocument/2006/relationships/hyperlink" Target="http://bit.ly/MasterEspanol" TargetMode="External"/><Relationship Id="rId1501" Type="http://schemas.openxmlformats.org/officeDocument/2006/relationships/hyperlink" Target="https://go.shr.lc/2Ab2hR4" TargetMode="External"/><Relationship Id="rId1739" Type="http://schemas.openxmlformats.org/officeDocument/2006/relationships/hyperlink" Target="http://ow.ly/D7gC101mKd4" TargetMode="External"/><Relationship Id="rId1946" Type="http://schemas.openxmlformats.org/officeDocument/2006/relationships/hyperlink" Target="https://cubaadiario.blogspot.com/2018/11/biografia-oficial-del-excmo-sr-pedro.html?spref=tw" TargetMode="External"/><Relationship Id="rId3399" Type="http://schemas.openxmlformats.org/officeDocument/2006/relationships/hyperlink" Target="http://www.josesimongracia.es/" TargetMode="External"/><Relationship Id="rId1806" Type="http://schemas.openxmlformats.org/officeDocument/2006/relationships/hyperlink" Target="http://www.noticierodigital.com/" TargetMode="External"/><Relationship Id="rId3161" Type="http://schemas.openxmlformats.org/officeDocument/2006/relationships/hyperlink" Target="http://donatiu8.blogspot.hu/" TargetMode="External"/><Relationship Id="rId3259" Type="http://schemas.openxmlformats.org/officeDocument/2006/relationships/hyperlink" Target="http://www.nngglarioja.es/" TargetMode="External"/><Relationship Id="rId3466" Type="http://schemas.openxmlformats.org/officeDocument/2006/relationships/hyperlink" Target="http://www.elindependiente.com/" TargetMode="External"/><Relationship Id="rId387" Type="http://schemas.openxmlformats.org/officeDocument/2006/relationships/hyperlink" Target="http://polifaceticamente.wordpress.com/" TargetMode="External"/><Relationship Id="rId594" Type="http://schemas.openxmlformats.org/officeDocument/2006/relationships/hyperlink" Target="http://www.lasexta.com/noticias/" TargetMode="External"/><Relationship Id="rId2068" Type="http://schemas.openxmlformats.org/officeDocument/2006/relationships/hyperlink" Target="https://curiouscat.me/crisponxo" TargetMode="External"/><Relationship Id="rId2275" Type="http://schemas.openxmlformats.org/officeDocument/2006/relationships/hyperlink" Target="https://okdiario.com/opinion/2018/11/22/indignidad-pedro-sanchez-borrell-3380779?utm_term=Autofeed&amp;utm_campaign=ok&amp;utm_medium=Social&amp;utm_source=Twitter" TargetMode="External"/><Relationship Id="rId3021" Type="http://schemas.openxmlformats.org/officeDocument/2006/relationships/hyperlink" Target="http://page.is/manuela-murias" TargetMode="External"/><Relationship Id="rId3119" Type="http://schemas.openxmlformats.org/officeDocument/2006/relationships/hyperlink" Target="https://elpais.com/politica/2018/11/21/actualidad/1542810485_448113.html?id_externo_rsoc=TW_CC" TargetMode="External"/><Relationship Id="rId3326" Type="http://schemas.openxmlformats.org/officeDocument/2006/relationships/hyperlink" Target="http://www.ppmadrid.es/" TargetMode="External"/><Relationship Id="rId247" Type="http://schemas.openxmlformats.org/officeDocument/2006/relationships/hyperlink" Target="https://pbs.twimg.com/media/DssP3lkU0AAKGzE.jpg" TargetMode="External"/><Relationship Id="rId899" Type="http://schemas.openxmlformats.org/officeDocument/2006/relationships/hyperlink" Target="https://www.revistavanityfair.es/poder/articulos/pedro-sanchez-aviones-oficiales-cuba-aznar-azores-rey-presidente-guapo/34817" TargetMode="External"/><Relationship Id="rId1084" Type="http://schemas.openxmlformats.org/officeDocument/2006/relationships/hyperlink" Target="http://www.laeducacion.us/" TargetMode="External"/><Relationship Id="rId2482" Type="http://schemas.openxmlformats.org/officeDocument/2006/relationships/hyperlink" Target="https://www.revistavanityfair.es/poder/articulos/visita-pedro-sanchez-cuba-felipe-gonzalez-fidel-castro-fraga-suarez/34767" TargetMode="External"/><Relationship Id="rId2787" Type="http://schemas.openxmlformats.org/officeDocument/2006/relationships/hyperlink" Target="https://www.elconfidencialdigital.com/articulo/politica/moncloa-filtro-candidatura-borrell-europeas-despues-pdecat-erc-pidieran-cabeza-contrapartida-seguir-apoyando-gobierno/20181121192512118406.html" TargetMode="External"/><Relationship Id="rId3533" Type="http://schemas.openxmlformats.org/officeDocument/2006/relationships/hyperlink" Target="http://www.jdimmigration.es/" TargetMode="External"/><Relationship Id="rId107" Type="http://schemas.openxmlformats.org/officeDocument/2006/relationships/hyperlink" Target="http://bit.ly/2QZhagw" TargetMode="External"/><Relationship Id="rId454" Type="http://schemas.openxmlformats.org/officeDocument/2006/relationships/hyperlink" Target="http://cantabria.ciudadanos-cs.org/" TargetMode="External"/><Relationship Id="rId661" Type="http://schemas.openxmlformats.org/officeDocument/2006/relationships/hyperlink" Target="https://www.diariosur.es/nacional/viaje-pedro-sanchez-cuba-20181123211321-ntrc.html" TargetMode="External"/><Relationship Id="rId759" Type="http://schemas.openxmlformats.org/officeDocument/2006/relationships/hyperlink" Target="https://www.elespanol.com/opinion/tribunas/20181123/carta-abierta-cubano-pedro-sanchez/355334465_12.html" TargetMode="External"/><Relationship Id="rId966" Type="http://schemas.openxmlformats.org/officeDocument/2006/relationships/hyperlink" Target="http://www.motor16.com/" TargetMode="External"/><Relationship Id="rId1291" Type="http://schemas.openxmlformats.org/officeDocument/2006/relationships/hyperlink" Target="http://www.o-mega.net/" TargetMode="External"/><Relationship Id="rId1389" Type="http://schemas.openxmlformats.org/officeDocument/2006/relationships/hyperlink" Target="https://pbs.twimg.com/media/DsqOoSkWoAAHN4h.jpg" TargetMode="External"/><Relationship Id="rId1596" Type="http://schemas.openxmlformats.org/officeDocument/2006/relationships/hyperlink" Target="http://www.lajornadasanluis.com.mx/" TargetMode="External"/><Relationship Id="rId2135" Type="http://schemas.openxmlformats.org/officeDocument/2006/relationships/hyperlink" Target="http://bit.ly/EP_Venezuela" TargetMode="External"/><Relationship Id="rId2342" Type="http://schemas.openxmlformats.org/officeDocument/2006/relationships/hyperlink" Target="https://www.elconfidencial.com/espana/cataluna/2018-11-21/erc-pide-pedro-sanchez-evite-elecciones_1658806/?utm_source=twitter&amp;utm_medium=social&amp;utm_campaign=BotoneraWeb" TargetMode="External"/><Relationship Id="rId2647" Type="http://schemas.openxmlformats.org/officeDocument/2006/relationships/hyperlink" Target="https://mobile.twitter.com/fgbfrancisco" TargetMode="External"/><Relationship Id="rId2994" Type="http://schemas.openxmlformats.org/officeDocument/2006/relationships/hyperlink" Target="https://pbs.twimg.com/media/DsndE2WWkAAY7eQ.jpg" TargetMode="External"/><Relationship Id="rId314" Type="http://schemas.openxmlformats.org/officeDocument/2006/relationships/hyperlink" Target="https://www.elespanol.com/opinion/tribunas/20181123/carta-abierta-cubano-pedro-sanchez/355334465_12.html" TargetMode="External"/><Relationship Id="rId521" Type="http://schemas.openxmlformats.org/officeDocument/2006/relationships/hyperlink" Target="http://ow.ly/J8Mq30mlUtK" TargetMode="External"/><Relationship Id="rId619" Type="http://schemas.openxmlformats.org/officeDocument/2006/relationships/hyperlink" Target="https://pbs.twimg.com/media/Dsrtq22XoAAfrK7.jpg" TargetMode="External"/><Relationship Id="rId1151" Type="http://schemas.openxmlformats.org/officeDocument/2006/relationships/hyperlink" Target="http://theobjective.com/" TargetMode="External"/><Relationship Id="rId1249" Type="http://schemas.openxmlformats.org/officeDocument/2006/relationships/hyperlink" Target="https://pbs.twimg.com/media/DsqqVMBXcAABiBH.jpg" TargetMode="External"/><Relationship Id="rId2202" Type="http://schemas.openxmlformats.org/officeDocument/2006/relationships/hyperlink" Target="http://ow.ly/buf530mICLY" TargetMode="External"/><Relationship Id="rId2854" Type="http://schemas.openxmlformats.org/officeDocument/2006/relationships/hyperlink" Target="https://cincodias.elpais.com/breves/ibex-35-y-mercados-en-directo/1542901346-4786ed8483b0e967543e223963e6a3b6" TargetMode="External"/><Relationship Id="rId95" Type="http://schemas.openxmlformats.org/officeDocument/2006/relationships/hyperlink" Target="https://www.aporrea.org/internacionales/n334644.html" TargetMode="External"/><Relationship Id="rId826" Type="http://schemas.openxmlformats.org/officeDocument/2006/relationships/hyperlink" Target="https://www.hoy.es/internacional/union-europea/bruselas-londres-acuerdo-posbrexit-20181122115651-ntrc.html" TargetMode="External"/><Relationship Id="rId1011" Type="http://schemas.openxmlformats.org/officeDocument/2006/relationships/hyperlink" Target="http://www.elimparcial.es/" TargetMode="External"/><Relationship Id="rId1109" Type="http://schemas.openxmlformats.org/officeDocument/2006/relationships/hyperlink" Target="https://www.periodistadigital.com/periodismo/prensa/2018/11/23/escupitajo-elpais-oposicion-cubana-elogiando-pedro-sanchez-no-reuna-diaz-canel-brexit-gibraltar-borrell.shtml" TargetMode="External"/><Relationship Id="rId1456" Type="http://schemas.openxmlformats.org/officeDocument/2006/relationships/hyperlink" Target="http://www.albertoarego.com/" TargetMode="External"/><Relationship Id="rId1663" Type="http://schemas.openxmlformats.org/officeDocument/2006/relationships/hyperlink" Target="http://www.telesurtv.net/" TargetMode="External"/><Relationship Id="rId1870" Type="http://schemas.openxmlformats.org/officeDocument/2006/relationships/hyperlink" Target="http://page.is/victorzuigazamo" TargetMode="External"/><Relationship Id="rId1968" Type="http://schemas.openxmlformats.org/officeDocument/2006/relationships/hyperlink" Target="https://www.facebook.com/JCSura" TargetMode="External"/><Relationship Id="rId2507" Type="http://schemas.openxmlformats.org/officeDocument/2006/relationships/hyperlink" Target="https://pbs.twimg.com/media/DsoJs7yV4AA4EUt.jpg" TargetMode="External"/><Relationship Id="rId2714" Type="http://schemas.openxmlformats.org/officeDocument/2006/relationships/hyperlink" Target="https://pbs.twimg.com/media/Dsny-QFVsAAUBdH.jpg" TargetMode="External"/><Relationship Id="rId2921" Type="http://schemas.openxmlformats.org/officeDocument/2006/relationships/hyperlink" Target="https://lalunadealcala.com/bus-vao-la-2-alcala-henares-madrid-se-cuela-la-reunion-pedro-sanchez-angel-garrido/" TargetMode="External"/><Relationship Id="rId1316" Type="http://schemas.openxmlformats.org/officeDocument/2006/relationships/hyperlink" Target="https://www.meneame.net/story/polonia-pedro-sanchez-hace-contrario-dice" TargetMode="External"/><Relationship Id="rId1523" Type="http://schemas.openxmlformats.org/officeDocument/2006/relationships/hyperlink" Target="https://www.analitica.com/actualidad/actualidad-internacional/sanchez-llega-a-cuba-para-su-visita-oficial-y-hoy-se-reunira-con-diaz-canel/" TargetMode="External"/><Relationship Id="rId1730" Type="http://schemas.openxmlformats.org/officeDocument/2006/relationships/hyperlink" Target="http://www.elportaluco.com/" TargetMode="External"/><Relationship Id="rId3183" Type="http://schemas.openxmlformats.org/officeDocument/2006/relationships/hyperlink" Target="https://www.facebook.com/Me-lo-dices-o-me-lo-cuentas-Te-lo-cuento-1209658342506537/" TargetMode="External"/><Relationship Id="rId3390" Type="http://schemas.openxmlformats.org/officeDocument/2006/relationships/hyperlink" Target="https://pbs.twimg.com/media/Dsm0PsXXcAEctgH.jpg" TargetMode="External"/><Relationship Id="rId22" Type="http://schemas.openxmlformats.org/officeDocument/2006/relationships/hyperlink" Target="http://www.radiocubitas.icrt.cu/" TargetMode="External"/><Relationship Id="rId1828" Type="http://schemas.openxmlformats.org/officeDocument/2006/relationships/hyperlink" Target="http://ver.20m.es/fpinu1" TargetMode="External"/><Relationship Id="rId3043" Type="http://schemas.openxmlformats.org/officeDocument/2006/relationships/hyperlink" Target="http://tinyurl.com/y8t6zhqj" TargetMode="External"/><Relationship Id="rId3250" Type="http://schemas.openxmlformats.org/officeDocument/2006/relationships/hyperlink" Target="http://www.fuenlabradanoticias.com/" TargetMode="External"/><Relationship Id="rId3488" Type="http://schemas.openxmlformats.org/officeDocument/2006/relationships/hyperlink" Target="https://okdiario.com/espana/2018/11/21/pedro-sanchez-no-reunira-oposicion-viaje-cuba-3377734" TargetMode="External"/><Relationship Id="rId171" Type="http://schemas.openxmlformats.org/officeDocument/2006/relationships/hyperlink" Target="https://www.economiadigital.es/politica-y-sociedad/el-ibex-senala-el-fin-del-gobierno-de-pedro-sanchez_590507_102.html" TargetMode="External"/><Relationship Id="rId2297" Type="http://schemas.openxmlformats.org/officeDocument/2006/relationships/hyperlink" Target="http://www.doblellave.com/" TargetMode="External"/><Relationship Id="rId3348" Type="http://schemas.openxmlformats.org/officeDocument/2006/relationships/hyperlink" Target="https://diariodecaracas.com/" TargetMode="External"/><Relationship Id="rId3555" Type="http://schemas.openxmlformats.org/officeDocument/2006/relationships/hyperlink" Target="http://www.granma.cu/mundo/2018-11-21/biografia-oficial-del-excmo-sr-pedro-sanchez-perez-castejon-presidente-del-gobierno-del-reino-de-espana-21-11-2018-20-11-30" TargetMode="External"/><Relationship Id="rId269" Type="http://schemas.openxmlformats.org/officeDocument/2006/relationships/hyperlink" Target="https://bit.ly/2Ae8Cv6" TargetMode="External"/><Relationship Id="rId476" Type="http://schemas.openxmlformats.org/officeDocument/2006/relationships/hyperlink" Target="https://pbs.twimg.com/media/Dsr7TRDXgAA_jlP.jpg" TargetMode="External"/><Relationship Id="rId683" Type="http://schemas.openxmlformats.org/officeDocument/2006/relationships/hyperlink" Target="https://www.youtube.com/channel/UC20DXdqj2lqQbSIkqNj4ygg" TargetMode="External"/><Relationship Id="rId890" Type="http://schemas.openxmlformats.org/officeDocument/2006/relationships/hyperlink" Target="http://veoinfo.com/" TargetMode="External"/><Relationship Id="rId2157" Type="http://schemas.openxmlformats.org/officeDocument/2006/relationships/hyperlink" Target="http://elclubdelosviernes.org/" TargetMode="External"/><Relationship Id="rId2364" Type="http://schemas.openxmlformats.org/officeDocument/2006/relationships/hyperlink" Target="https://www.libertaddigital.com/espana/2018-11-22/pedro-sanchez-viaja-a-cuba-para-rendir-pleitesia-al-regimen-castrista-1276628700/" TargetMode="External"/><Relationship Id="rId2571" Type="http://schemas.openxmlformats.org/officeDocument/2006/relationships/hyperlink" Target="http://riazor.org/" TargetMode="External"/><Relationship Id="rId3110" Type="http://schemas.openxmlformats.org/officeDocument/2006/relationships/hyperlink" Target="https://www.youtube.com/channel/UCl-_iYBzcBZvjEoHp81MlUg" TargetMode="External"/><Relationship Id="rId3208" Type="http://schemas.openxmlformats.org/officeDocument/2006/relationships/hyperlink" Target="http://ow.ly/u2CB101mIjK" TargetMode="External"/><Relationship Id="rId3415" Type="http://schemas.openxmlformats.org/officeDocument/2006/relationships/hyperlink" Target="http://madridiario.es/" TargetMode="External"/><Relationship Id="rId129" Type="http://schemas.openxmlformats.org/officeDocument/2006/relationships/hyperlink" Target="https://bit.ly/2DEWYN3" TargetMode="External"/><Relationship Id="rId336" Type="http://schemas.openxmlformats.org/officeDocument/2006/relationships/hyperlink" Target="http://www.cronicaglobal.com/" TargetMode="External"/><Relationship Id="rId543" Type="http://schemas.openxmlformats.org/officeDocument/2006/relationships/hyperlink" Target="https://twitter.com/sanchezcastejon/status/1065719004923342850?s=12" TargetMode="External"/><Relationship Id="rId988" Type="http://schemas.openxmlformats.org/officeDocument/2006/relationships/hyperlink" Target="http://eleconomista.es/" TargetMode="External"/><Relationship Id="rId1173" Type="http://schemas.openxmlformats.org/officeDocument/2006/relationships/hyperlink" Target="https://elpais.com/internacional/2018/11/22/actualidad/1542914000_295410.html?id_externo_rsoc=TW_CM" TargetMode="External"/><Relationship Id="rId1380" Type="http://schemas.openxmlformats.org/officeDocument/2006/relationships/hyperlink" Target="http://www.radioreloj.cu/es/destacadas/encabezan-diaz-canel-pedro-sanchez-firma-memorandos-fotos/" TargetMode="External"/><Relationship Id="rId2017" Type="http://schemas.openxmlformats.org/officeDocument/2006/relationships/hyperlink" Target="https://pbs.twimg.com/media/Dsoa_6fWkAE29nf.jpg" TargetMode="External"/><Relationship Id="rId2224" Type="http://schemas.openxmlformats.org/officeDocument/2006/relationships/hyperlink" Target="http://yadiraescobar.com/" TargetMode="External"/><Relationship Id="rId2669" Type="http://schemas.openxmlformats.org/officeDocument/2006/relationships/hyperlink" Target="https://pbs.twimg.com/media/Dsn2qsDUwAAc7f0.jpg" TargetMode="External"/><Relationship Id="rId2876" Type="http://schemas.openxmlformats.org/officeDocument/2006/relationships/hyperlink" Target="http://www.despiertainfo.com/2018/11/20/la-rfef-desautoriza-a-pedro-sanchez-para-organizar-el-mundial-con-marruecos-en-2030/" TargetMode="External"/><Relationship Id="rId403" Type="http://schemas.openxmlformats.org/officeDocument/2006/relationships/hyperlink" Target="https://www.cope.es/emisoras/castilla-la-mancha/albacete-provincia/albacete/audios/pedro-sanchez-capitan-tan-20181123_583043" TargetMode="External"/><Relationship Id="rId750" Type="http://schemas.openxmlformats.org/officeDocument/2006/relationships/hyperlink" Target="https://m.facebook.com/pedro.sanchezperezcastejon/posts/2147373745284237?__tn__=-R" TargetMode="External"/><Relationship Id="rId848" Type="http://schemas.openxmlformats.org/officeDocument/2006/relationships/hyperlink" Target="https://pbs.twimg.com/media/DsrVRzuUwAAla46.jpg" TargetMode="External"/><Relationship Id="rId1033" Type="http://schemas.openxmlformats.org/officeDocument/2006/relationships/hyperlink" Target="http://www.oswaldopaya.org/" TargetMode="External"/><Relationship Id="rId1478" Type="http://schemas.openxmlformats.org/officeDocument/2006/relationships/hyperlink" Target="https://pbs.twimg.com/media/Dsp-_cfVsAA8LKy.jpg" TargetMode="External"/><Relationship Id="rId1685" Type="http://schemas.openxmlformats.org/officeDocument/2006/relationships/hyperlink" Target="http://www.cnctv.icrt.cu/" TargetMode="External"/><Relationship Id="rId1892" Type="http://schemas.openxmlformats.org/officeDocument/2006/relationships/hyperlink" Target="http://net.quantitas.com/help/contact" TargetMode="External"/><Relationship Id="rId2431" Type="http://schemas.openxmlformats.org/officeDocument/2006/relationships/hyperlink" Target="http://www.citizengo.org/hazteoir/166670-no-expolie-por-segunda-vez-archivo-salamanca?tc=tw&amp;tcid=52308063" TargetMode="External"/><Relationship Id="rId2529" Type="http://schemas.openxmlformats.org/officeDocument/2006/relationships/hyperlink" Target="https://pbs.twimg.com/media/DsoHRbYVsAA1TxN.jpg" TargetMode="External"/><Relationship Id="rId2736" Type="http://schemas.openxmlformats.org/officeDocument/2006/relationships/hyperlink" Target="https://youtu.be/2z1vuPwM-y0" TargetMode="External"/><Relationship Id="rId610" Type="http://schemas.openxmlformats.org/officeDocument/2006/relationships/hyperlink" Target="https://pbs.twimg.com/media/DsrukrEXQAEgd18.jpg" TargetMode="External"/><Relationship Id="rId708" Type="http://schemas.openxmlformats.org/officeDocument/2006/relationships/hyperlink" Target="https://pbs.twimg.com/media/DsrlTiaV4AADUMt.jpg" TargetMode="External"/><Relationship Id="rId915" Type="http://schemas.openxmlformats.org/officeDocument/2006/relationships/hyperlink" Target="https://www.20minutos.es/noticia/3499202/0/pedro-sanchez-viaje-cuba-reunion-diaz-canel-habana-llega?utm_source=twitter.com&amp;utm_medium=socialshare&amp;utm_campaign=mobile_app" TargetMode="External"/><Relationship Id="rId1240" Type="http://schemas.openxmlformats.org/officeDocument/2006/relationships/hyperlink" Target="http://www.tuasesorglobal.com/" TargetMode="External"/><Relationship Id="rId1338" Type="http://schemas.openxmlformats.org/officeDocument/2006/relationships/hyperlink" Target="http://bit.ly/2S9Jmxr" TargetMode="External"/><Relationship Id="rId1545" Type="http://schemas.openxmlformats.org/officeDocument/2006/relationships/hyperlink" Target="https://pbs.twimg.com/media/DspIMmjV4AAer6c.jpg" TargetMode="External"/><Relationship Id="rId2943" Type="http://schemas.openxmlformats.org/officeDocument/2006/relationships/hyperlink" Target="https://pbs.twimg.com/media/DsniJNLWwAAM_8N.jpg" TargetMode="External"/><Relationship Id="rId1100" Type="http://schemas.openxmlformats.org/officeDocument/2006/relationships/hyperlink" Target="http://www.lacaba&#241;adelarbol.es/" TargetMode="External"/><Relationship Id="rId1405" Type="http://schemas.openxmlformats.org/officeDocument/2006/relationships/hyperlink" Target="http://www.radionexx.com/" TargetMode="External"/><Relationship Id="rId1752" Type="http://schemas.openxmlformats.org/officeDocument/2006/relationships/hyperlink" Target="https://pbs.twimg.com/media/DspU_THVYAAWHmw.png" TargetMode="External"/><Relationship Id="rId2803" Type="http://schemas.openxmlformats.org/officeDocument/2006/relationships/hyperlink" Target="http://www.getafediario.es/" TargetMode="External"/><Relationship Id="rId44" Type="http://schemas.openxmlformats.org/officeDocument/2006/relationships/hyperlink" Target="http://blogs.cincodias.com/la_ue_del_reves/" TargetMode="External"/><Relationship Id="rId1612" Type="http://schemas.openxmlformats.org/officeDocument/2006/relationships/hyperlink" Target="https://pbs.twimg.com/media/DspoCxdW0AEmmLJ.jpg" TargetMode="External"/><Relationship Id="rId1917" Type="http://schemas.openxmlformats.org/officeDocument/2006/relationships/hyperlink" Target="http://www.citizengo.org/hazteoir/166670-no-expolie-por-segunda-vez-archivo-salamanca?tc=tw&amp;tcid=52310447" TargetMode="External"/><Relationship Id="rId3065" Type="http://schemas.openxmlformats.org/officeDocument/2006/relationships/hyperlink" Target="http://pic.twitter.com/Ydof9Dj5Cg" TargetMode="External"/><Relationship Id="rId3272" Type="http://schemas.openxmlformats.org/officeDocument/2006/relationships/hyperlink" Target="http://murciapsoe.es/2018/11/22/el-psoe-recuerda-que-el-gobierno-de-sanchez-desbloquea-la-recuperacion-arqueologica-de-san-esteban-triplicando-la-ayuda-que-daba-rajoy/" TargetMode="External"/><Relationship Id="rId193" Type="http://schemas.openxmlformats.org/officeDocument/2006/relationships/hyperlink" Target="http://agendapublica.elperiodico.com/analistas/diana-ortega/" TargetMode="External"/><Relationship Id="rId498" Type="http://schemas.openxmlformats.org/officeDocument/2006/relationships/hyperlink" Target="http://world2digits.blogspot.com/" TargetMode="External"/><Relationship Id="rId2081" Type="http://schemas.openxmlformats.org/officeDocument/2006/relationships/hyperlink" Target="https://www.elindependiente.com/politica/2018/11/22/sanchez-gibraltar-no-cambios-vetaremos-brexit/?utm_source=share_buttons&amp;utm_medium=twitter&amp;utm_campaign=social_share" TargetMode="External"/><Relationship Id="rId2179" Type="http://schemas.openxmlformats.org/officeDocument/2006/relationships/hyperlink" Target="https://lapaseata.net/2018/11/22/socios-pedro-sanchez-degradan-democracia/" TargetMode="External"/><Relationship Id="rId3132" Type="http://schemas.openxmlformats.org/officeDocument/2006/relationships/hyperlink" Target="https://pbs.twimg.com/media/DsnPpiOU4AEwp3f.jpg" TargetMode="External"/><Relationship Id="rId3577" Type="http://schemas.openxmlformats.org/officeDocument/2006/relationships/hyperlink" Target="http://paper.li/lobo_solito/1343408781" TargetMode="External"/><Relationship Id="rId260" Type="http://schemas.openxmlformats.org/officeDocument/2006/relationships/hyperlink" Target="https://www.infobae.com/america/mundo/2018/11/23/pedro-sanchez-hablo-con-theresa-may-y-reitero-que-hara-espana-si-no-hay-cambios-sobre-gibraltar-vetaremos-el-brexit/" TargetMode="External"/><Relationship Id="rId2386" Type="http://schemas.openxmlformats.org/officeDocument/2006/relationships/hyperlink" Target="http://www.citizengo.org/es/node/166670?tc=tw&amp;tcid=52308344" TargetMode="External"/><Relationship Id="rId2593" Type="http://schemas.openxmlformats.org/officeDocument/2006/relationships/hyperlink" Target="https://okdiario.com/espana/2018/11/21/sanchez-mando-coche-oficial-vacio-valladolid-hacer-8-kms-del-aeropuerto-ciudad-3377374" TargetMode="External"/><Relationship Id="rId3437" Type="http://schemas.openxmlformats.org/officeDocument/2006/relationships/hyperlink" Target="https://pbs.twimg.com/media/DsmtF59WwAE8sYU.jpg" TargetMode="External"/><Relationship Id="rId120" Type="http://schemas.openxmlformats.org/officeDocument/2006/relationships/hyperlink" Target="https://bb8j3.app.goo.gl/mZV5BhA1GahMNcMP8" TargetMode="External"/><Relationship Id="rId358" Type="http://schemas.openxmlformats.org/officeDocument/2006/relationships/hyperlink" Target="http://estudioslatinoseiberoamericanos.wordpress.com/" TargetMode="External"/><Relationship Id="rId565" Type="http://schemas.openxmlformats.org/officeDocument/2006/relationships/hyperlink" Target="http://www.madriddigital24horas.com/" TargetMode="External"/><Relationship Id="rId772" Type="http://schemas.openxmlformats.org/officeDocument/2006/relationships/hyperlink" Target="http://dlvr.it/QrwHHy" TargetMode="External"/><Relationship Id="rId1195" Type="http://schemas.openxmlformats.org/officeDocument/2006/relationships/hyperlink" Target="http://www.cubadebate.cu/noticias/2018/11/22/recibio-diaz-canel-al-presidente-del-gobierno-de-espana/" TargetMode="External"/><Relationship Id="rId2039" Type="http://schemas.openxmlformats.org/officeDocument/2006/relationships/hyperlink" Target="https://pbs.twimg.com/media/Dso6h2JVAAAkLrE.jpg" TargetMode="External"/><Relationship Id="rId2246" Type="http://schemas.openxmlformats.org/officeDocument/2006/relationships/hyperlink" Target="http://www.citizengo.org/hazteoir/166670-no-expolie-por-segunda-vez-archivo-salamanca?tc=tw&amp;tcid=52309209" TargetMode="External"/><Relationship Id="rId2453" Type="http://schemas.openxmlformats.org/officeDocument/2006/relationships/hyperlink" Target="http://www.madridapie.com/" TargetMode="External"/><Relationship Id="rId2660" Type="http://schemas.openxmlformats.org/officeDocument/2006/relationships/hyperlink" Target="http://www.citizengo.org/hazteoir/166670-no-expolie-por-segunda-vez-archivo-salamanca?tc=tw&amp;tcid=52306193" TargetMode="External"/><Relationship Id="rId2898" Type="http://schemas.openxmlformats.org/officeDocument/2006/relationships/hyperlink" Target="http://www.expansion.com/economia/2018/11/22/5bf6a7d8468aebd6448b4580.html" TargetMode="External"/><Relationship Id="rId3504" Type="http://schemas.openxmlformats.org/officeDocument/2006/relationships/hyperlink" Target="https://pbs.twimg.com/media/Dsmkyh3WwAExOIw.jpg" TargetMode="External"/><Relationship Id="rId218" Type="http://schemas.openxmlformats.org/officeDocument/2006/relationships/hyperlink" Target="http://dlvr.it/Qrx3t3" TargetMode="External"/><Relationship Id="rId425" Type="http://schemas.openxmlformats.org/officeDocument/2006/relationships/hyperlink" Target="http://14ymedio.com/" TargetMode="External"/><Relationship Id="rId632" Type="http://schemas.openxmlformats.org/officeDocument/2006/relationships/hyperlink" Target="https://www.elespanol.com/opinion/tribunas/20181123/carta-abierta-cubano-pedro-sanchez/355334465_12.html" TargetMode="External"/><Relationship Id="rId1055" Type="http://schemas.openxmlformats.org/officeDocument/2006/relationships/hyperlink" Target="http://matrizdeopinion.com/" TargetMode="External"/><Relationship Id="rId1262" Type="http://schemas.openxmlformats.org/officeDocument/2006/relationships/hyperlink" Target="https://www.20minutos.es/" TargetMode="External"/><Relationship Id="rId2106" Type="http://schemas.openxmlformats.org/officeDocument/2006/relationships/hyperlink" Target="http://ver.20m.es/dlw8r1" TargetMode="External"/><Relationship Id="rId2313" Type="http://schemas.openxmlformats.org/officeDocument/2006/relationships/hyperlink" Target="https://www.elmundo.es/economia/macroeconomia/2018/11/21/5bf542fa46163f8e9e8b4669.html" TargetMode="External"/><Relationship Id="rId2520" Type="http://schemas.openxmlformats.org/officeDocument/2006/relationships/hyperlink" Target="http://www.amgarciac.es/" TargetMode="External"/><Relationship Id="rId2758" Type="http://schemas.openxmlformats.org/officeDocument/2006/relationships/hyperlink" Target="http://www.eldornillo.com/" TargetMode="External"/><Relationship Id="rId2965" Type="http://schemas.openxmlformats.org/officeDocument/2006/relationships/hyperlink" Target="http://www.trabajadores.cu/" TargetMode="External"/><Relationship Id="rId937" Type="http://schemas.openxmlformats.org/officeDocument/2006/relationships/hyperlink" Target="https://cenews.es/pedro-sanchez-busca-impulsar-las-relaciones-con-cuba/" TargetMode="External"/><Relationship Id="rId1122" Type="http://schemas.openxmlformats.org/officeDocument/2006/relationships/hyperlink" Target="https://www.elconfidencial.com/espana/2018-11-23/pedro-sanchez-adelanto-electoral-superdomingo-barones_1663322/?utm_source=twitter&amp;utm_medium=social&amp;utm_campaign=BotoneraWeb" TargetMode="External"/><Relationship Id="rId1567" Type="http://schemas.openxmlformats.org/officeDocument/2006/relationships/hyperlink" Target="http://bit.ly/2S9km9l" TargetMode="External"/><Relationship Id="rId1774" Type="http://schemas.openxmlformats.org/officeDocument/2006/relationships/hyperlink" Target="http://elconfidencial.com/" TargetMode="External"/><Relationship Id="rId1981" Type="http://schemas.openxmlformats.org/officeDocument/2006/relationships/hyperlink" Target="http://dlvr.it/Qrtjmc" TargetMode="External"/><Relationship Id="rId2618" Type="http://schemas.openxmlformats.org/officeDocument/2006/relationships/hyperlink" Target="http://www.citizengo.org/hazteoir/166670-no-expolie-por-segunda-vez-archivo-salamanca?tc=tw&amp;tcid=52306472" TargetMode="External"/><Relationship Id="rId2825" Type="http://schemas.openxmlformats.org/officeDocument/2006/relationships/hyperlink" Target="https://goo.gl/u5117j" TargetMode="External"/><Relationship Id="rId66" Type="http://schemas.openxmlformats.org/officeDocument/2006/relationships/hyperlink" Target="http://www.vtactual.com/es" TargetMode="External"/><Relationship Id="rId1427" Type="http://schemas.openxmlformats.org/officeDocument/2006/relationships/hyperlink" Target="https://pbs.twimg.com/media/DsqF06oVYAEjD-K.jpg" TargetMode="External"/><Relationship Id="rId1634" Type="http://schemas.openxmlformats.org/officeDocument/2006/relationships/hyperlink" Target="https://lapaseata.net/2018/11/22/socios-pedro-sanchez-degradan-democracia/" TargetMode="External"/><Relationship Id="rId1841" Type="http://schemas.openxmlformats.org/officeDocument/2006/relationships/hyperlink" Target="https://www.facebook.com/Psychic-Readings-in-Rhode-Island-1679036399055014/" TargetMode="External"/><Relationship Id="rId3087" Type="http://schemas.openxmlformats.org/officeDocument/2006/relationships/hyperlink" Target="http://www.youtube.com/user/JFJtvEs" TargetMode="External"/><Relationship Id="rId3294" Type="http://schemas.openxmlformats.org/officeDocument/2006/relationships/hyperlink" Target="https://www.periodistadigital.com/motor/novedades/2018/11/21/pedro-sanchez-moviliza-dos-aeronaves-para-ahorrar-ocho-minutos-en-un-viaje-entre-madrid-y-valladolid.shtml" TargetMode="External"/><Relationship Id="rId1939" Type="http://schemas.openxmlformats.org/officeDocument/2006/relationships/hyperlink" Target="http://www.defenemvalencia.es/" TargetMode="External"/><Relationship Id="rId1701" Type="http://schemas.openxmlformats.org/officeDocument/2006/relationships/hyperlink" Target="http://www.alcantarillasocial.com/author/xuxipc/" TargetMode="External"/><Relationship Id="rId3154" Type="http://schemas.openxmlformats.org/officeDocument/2006/relationships/hyperlink" Target="http://www.asociacionail.com/" TargetMode="External"/><Relationship Id="rId3361" Type="http://schemas.openxmlformats.org/officeDocument/2006/relationships/hyperlink" Target="http://www.asajamurcia.com/noticia/201811/22/asaja-murcia-tilda-de-insostenible-la-situacion-de-los-camioneros-espanoles-en" TargetMode="External"/><Relationship Id="rId3459" Type="http://schemas.openxmlformats.org/officeDocument/2006/relationships/hyperlink" Target="https://www.elmundo.es/economia/macroeconomia/2018/11/21/5bf542fa46163f8e9e8b4669.html" TargetMode="External"/><Relationship Id="rId282" Type="http://schemas.openxmlformats.org/officeDocument/2006/relationships/hyperlink" Target="http://www.psoesanpedroalcantara.es/" TargetMode="External"/><Relationship Id="rId587" Type="http://schemas.openxmlformats.org/officeDocument/2006/relationships/hyperlink" Target="http://pic.twitter.com/VJRPthcTGP" TargetMode="External"/><Relationship Id="rId2170" Type="http://schemas.openxmlformats.org/officeDocument/2006/relationships/hyperlink" Target="http://pic.twitter.com/pWG6xzoHIX" TargetMode="External"/><Relationship Id="rId2268" Type="http://schemas.openxmlformats.org/officeDocument/2006/relationships/hyperlink" Target="http://radiocorazondigital.blogspot.com.es/" TargetMode="External"/><Relationship Id="rId3014" Type="http://schemas.openxmlformats.org/officeDocument/2006/relationships/hyperlink" Target="https://www.elmundo.es/espana/2018/11/21/5bf5ab23e2704ea02f8b4581.html" TargetMode="External"/><Relationship Id="rId3221" Type="http://schemas.openxmlformats.org/officeDocument/2006/relationships/hyperlink" Target="https://pbs.twimg.com/media/DsnGPplVsAA186x.jpg" TargetMode="External"/><Relationship Id="rId3319" Type="http://schemas.openxmlformats.org/officeDocument/2006/relationships/hyperlink" Target="http://www.rtve.es/n/1841887" TargetMode="External"/><Relationship Id="rId8" Type="http://schemas.openxmlformats.org/officeDocument/2006/relationships/hyperlink" Target="https://www.infolibre.es/noticias/politica/2018/11/23/el_gobierno_vetara_acuerdo_si_no_introducen_cambios_sobre_relacion_futura_con_gibraltar_89140_1012.html?utm_source=twitter.com&amp;utm_medium=smmshare&amp;utm_campaign=noticias&amp;rnot=1015858" TargetMode="External"/><Relationship Id="rId142" Type="http://schemas.openxmlformats.org/officeDocument/2006/relationships/hyperlink" Target="http://www.slaymultimedios.com/" TargetMode="External"/><Relationship Id="rId447" Type="http://schemas.openxmlformats.org/officeDocument/2006/relationships/hyperlink" Target="https://www.ivoox.com/30277324" TargetMode="External"/><Relationship Id="rId794" Type="http://schemas.openxmlformats.org/officeDocument/2006/relationships/hyperlink" Target="http://www.efe.com/" TargetMode="External"/><Relationship Id="rId1077" Type="http://schemas.openxmlformats.org/officeDocument/2006/relationships/hyperlink" Target="https://twitter.com/sanchezcastejon/status/1065718710466428928" TargetMode="External"/><Relationship Id="rId2030" Type="http://schemas.openxmlformats.org/officeDocument/2006/relationships/hyperlink" Target="https://twitter.com/peruenlanoticia" TargetMode="External"/><Relationship Id="rId2128" Type="http://schemas.openxmlformats.org/officeDocument/2006/relationships/hyperlink" Target="http://bit.ly/2Fz15gs" TargetMode="External"/><Relationship Id="rId2475" Type="http://schemas.openxmlformats.org/officeDocument/2006/relationships/hyperlink" Target="http://dsmrq.es/rcd26850" TargetMode="External"/><Relationship Id="rId2682" Type="http://schemas.openxmlformats.org/officeDocument/2006/relationships/hyperlink" Target="http://www.multiforo.eu/" TargetMode="External"/><Relationship Id="rId2987" Type="http://schemas.openxmlformats.org/officeDocument/2006/relationships/hyperlink" Target="https://www.14ymedio.com/opinion/Cuba-viaje-arriesgado-Pedro-Sanchez_0_2550344946.html" TargetMode="External"/><Relationship Id="rId3526" Type="http://schemas.openxmlformats.org/officeDocument/2006/relationships/hyperlink" Target="https://pbs.twimg.com/media/DsmhTR4WwAIryZp.jpg" TargetMode="External"/><Relationship Id="rId654" Type="http://schemas.openxmlformats.org/officeDocument/2006/relationships/hyperlink" Target="http://riazordeportivo.blogspot.com.es/" TargetMode="External"/><Relationship Id="rId861" Type="http://schemas.openxmlformats.org/officeDocument/2006/relationships/hyperlink" Target="http://www.elobservadorcritico.com/2018/11/22/pedro-sanchez-y-jean-claude-juncker-pedro-sanchez-y-jean-claude-juncker-isabel-b-permuy-sanchez-pierde-el-credito-economico-en-europa/" TargetMode="External"/><Relationship Id="rId959" Type="http://schemas.openxmlformats.org/officeDocument/2006/relationships/hyperlink" Target="http://somosecd.com/iu8oe4" TargetMode="External"/><Relationship Id="rId1284" Type="http://schemas.openxmlformats.org/officeDocument/2006/relationships/hyperlink" Target="http://www.sajimes.blogspot.com/" TargetMode="External"/><Relationship Id="rId1491" Type="http://schemas.openxmlformats.org/officeDocument/2006/relationships/hyperlink" Target="http://www.diariosur.es/" TargetMode="External"/><Relationship Id="rId1589" Type="http://schemas.openxmlformats.org/officeDocument/2006/relationships/hyperlink" Target="https://www.lasexta.com/noticias/nacional/pedro-sanchez-gobierno-defendera-intereses-espana-hay-cambios-vetaremos-brexit_201811225bf726190cf25d64f625f686.html" TargetMode="External"/><Relationship Id="rId2335" Type="http://schemas.openxmlformats.org/officeDocument/2006/relationships/hyperlink" Target="https://noticierouniversal.com/actualidad/la-indignidad-de-pedro-sanchez-con-borrell/" TargetMode="External"/><Relationship Id="rId2542" Type="http://schemas.openxmlformats.org/officeDocument/2006/relationships/hyperlink" Target="https://www.hechosdehoy.com/theresa-may-desvela-lo-que-advirtio-a-pedro-sanchez-sobre-gibraltar-70280.htm" TargetMode="External"/><Relationship Id="rId307" Type="http://schemas.openxmlformats.org/officeDocument/2006/relationships/hyperlink" Target="http://www.despiertainfo.com/2018/11/20/la-rfef-desautoriza-a-pedro-sanchez-para-organizar-el-mundial-con-marruecos-en-2030/" TargetMode="External"/><Relationship Id="rId514" Type="http://schemas.openxmlformats.org/officeDocument/2006/relationships/hyperlink" Target="http://apuntoenlinea.com/" TargetMode="External"/><Relationship Id="rId721" Type="http://schemas.openxmlformats.org/officeDocument/2006/relationships/hyperlink" Target="https://www.elconfidencial.com/espana/2018-11-23/brexit-gibraltar-pablo-iglesias-pedro-sanchez-patriotismo_1664358/" TargetMode="External"/><Relationship Id="rId1144" Type="http://schemas.openxmlformats.org/officeDocument/2006/relationships/hyperlink" Target="http://www.periodistadigital.com/" TargetMode="External"/><Relationship Id="rId1351" Type="http://schemas.openxmlformats.org/officeDocument/2006/relationships/hyperlink" Target="http://bit.ly/2QejZx4" TargetMode="External"/><Relationship Id="rId1449" Type="http://schemas.openxmlformats.org/officeDocument/2006/relationships/hyperlink" Target="https://pbs.twimg.com/media/DsqCl_sXQAAng-b.jpg" TargetMode="External"/><Relationship Id="rId1796" Type="http://schemas.openxmlformats.org/officeDocument/2006/relationships/hyperlink" Target="http://www.periodistadigital.com/periodismo/tv/2018/11/22/ferreras-jefe-de-prensa-pedro-sanchez-rafa-hernando-gobierno-pp-borrell.shtml" TargetMode="External"/><Relationship Id="rId2402" Type="http://schemas.openxmlformats.org/officeDocument/2006/relationships/hyperlink" Target="https://www.periodistadigital.com/periodismo/tv/2018/11/22/ferreras-jefe-de-prensa-pedro-sanchez-rafa-hernando-gobierno-pp-borrell.shtml" TargetMode="External"/><Relationship Id="rId2847" Type="http://schemas.openxmlformats.org/officeDocument/2006/relationships/hyperlink" Target="https://prensaldia.com/presidente-del-gobierno-espanol-visita-cuba/" TargetMode="External"/><Relationship Id="rId88" Type="http://schemas.openxmlformats.org/officeDocument/2006/relationships/hyperlink" Target="https://www.youtube.com/watch?v=zB2Gl9fvjHU" TargetMode="External"/><Relationship Id="rId819" Type="http://schemas.openxmlformats.org/officeDocument/2006/relationships/hyperlink" Target="https://cronicaglobal.elespanol.com/politica/indepes-duros-torpedean-salida-presos-navidad_201682_102.html" TargetMode="External"/><Relationship Id="rId1004" Type="http://schemas.openxmlformats.org/officeDocument/2006/relationships/hyperlink" Target="https://pbs.twimg.com/media/DsrFH9ZWwAEGeXm.jpg" TargetMode="External"/><Relationship Id="rId1211" Type="http://schemas.openxmlformats.org/officeDocument/2006/relationships/hyperlink" Target="https://pbs.twimg.com/media/DsqvY8XXgAI7_xQ.jpg" TargetMode="External"/><Relationship Id="rId1656" Type="http://schemas.openxmlformats.org/officeDocument/2006/relationships/hyperlink" Target="https://geopoliting.com/UKVg" TargetMode="External"/><Relationship Id="rId1863" Type="http://schemas.openxmlformats.org/officeDocument/2006/relationships/hyperlink" Target="https://pbs.twimg.com/media/DspJ6uJUcAEwQtg.jpg" TargetMode="External"/><Relationship Id="rId2707" Type="http://schemas.openxmlformats.org/officeDocument/2006/relationships/hyperlink" Target="http://bit.ly/2Ko8Rs5" TargetMode="External"/><Relationship Id="rId2914" Type="http://schemas.openxmlformats.org/officeDocument/2006/relationships/hyperlink" Target="http://soyefimero.blogspot.com.es/" TargetMode="External"/><Relationship Id="rId1309" Type="http://schemas.openxmlformats.org/officeDocument/2006/relationships/hyperlink" Target="https://pbs.twimg.com/media/Dsqe20bXoAAEUSv.jpg" TargetMode="External"/><Relationship Id="rId1516" Type="http://schemas.openxmlformats.org/officeDocument/2006/relationships/hyperlink" Target="https://pbs.twimg.com/media/Dsp3pVzVsAAs8aD.jpg" TargetMode="External"/><Relationship Id="rId1723" Type="http://schemas.openxmlformats.org/officeDocument/2006/relationships/hyperlink" Target="https://youtu.be/OBEluUwFIu0" TargetMode="External"/><Relationship Id="rId1930" Type="http://schemas.openxmlformats.org/officeDocument/2006/relationships/hyperlink" Target="http://www.noticierodigital.com/2018/11/pedro-sanchez-llego-cuba-se-reunira-diaz-canel/" TargetMode="External"/><Relationship Id="rId3176" Type="http://schemas.openxmlformats.org/officeDocument/2006/relationships/hyperlink" Target="http://www.madridiario.es/" TargetMode="External"/><Relationship Id="rId3383" Type="http://schemas.openxmlformats.org/officeDocument/2006/relationships/hyperlink" Target="https://ift.tt/2Ad4aga" TargetMode="External"/><Relationship Id="rId15" Type="http://schemas.openxmlformats.org/officeDocument/2006/relationships/hyperlink" Target="https://pbs.twimg.com/media/Dssk13nWwAEJzyC.jpg" TargetMode="External"/><Relationship Id="rId2192" Type="http://schemas.openxmlformats.org/officeDocument/2006/relationships/hyperlink" Target="https://m.eldiario.es/31f6512a_838226218/" TargetMode="External"/><Relationship Id="rId3036" Type="http://schemas.openxmlformats.org/officeDocument/2006/relationships/hyperlink" Target="http://page.is/manuela-murias" TargetMode="External"/><Relationship Id="rId3243" Type="http://schemas.openxmlformats.org/officeDocument/2006/relationships/hyperlink" Target="https://pbs.twimg.com/media/Dsj7lkfV4AEYNR2.jpg" TargetMode="External"/><Relationship Id="rId164" Type="http://schemas.openxmlformats.org/officeDocument/2006/relationships/hyperlink" Target="http://dlvr.it/Qrx856" TargetMode="External"/><Relationship Id="rId371" Type="http://schemas.openxmlformats.org/officeDocument/2006/relationships/hyperlink" Target="http://dlvr.it/Qrwtpm" TargetMode="External"/><Relationship Id="rId2052" Type="http://schemas.openxmlformats.org/officeDocument/2006/relationships/hyperlink" Target="http://www.publico.es/" TargetMode="External"/><Relationship Id="rId2497" Type="http://schemas.openxmlformats.org/officeDocument/2006/relationships/hyperlink" Target="https://okdiario.com/espana/2018/11/20/sanchez-gasta-cerca-millon-euros-poner-punto-luz-calefaccion-moncloa-3372360/amp" TargetMode="External"/><Relationship Id="rId3450" Type="http://schemas.openxmlformats.org/officeDocument/2006/relationships/hyperlink" Target="http://ow.ly/26gZ30mIiJe" TargetMode="External"/><Relationship Id="rId3548" Type="http://schemas.openxmlformats.org/officeDocument/2006/relationships/hyperlink" Target="https://www.radiotelevisionmarti.com/a/senado-espa%C3%B1ol-pide-a-s%C3%A1nchez-que-reclame-en-cuba-la-liberaci%C3%B3n-del-dr-cardet/221322.html" TargetMode="External"/><Relationship Id="rId469" Type="http://schemas.openxmlformats.org/officeDocument/2006/relationships/hyperlink" Target="https://www.elindependiente.com/politica/2018/11/21/pedro-sanchez-no-se-reunira-la-oposicion-al-castrismo-viaje-cuba/?utm_source=share_buttons&amp;utm_medium=twitter&amp;utm_campaign=social_share" TargetMode="External"/><Relationship Id="rId676" Type="http://schemas.openxmlformats.org/officeDocument/2006/relationships/hyperlink" Target="https://gaceta.es/mundo/pedro-sanchez-propone-la-visita-de-los-reyes-a-cuba-en-2019-20181123-1014/" TargetMode="External"/><Relationship Id="rId883" Type="http://schemas.openxmlformats.org/officeDocument/2006/relationships/hyperlink" Target="http://www.cronicaglobal.com/" TargetMode="External"/><Relationship Id="rId1099" Type="http://schemas.openxmlformats.org/officeDocument/2006/relationships/hyperlink" Target="https://pbs.twimg.com/media/Dsq9nvTXQAA0WHJ.jpg" TargetMode="External"/><Relationship Id="rId2357" Type="http://schemas.openxmlformats.org/officeDocument/2006/relationships/hyperlink" Target="https://pbs.twimg.com/media/DsoZ2qjXoAY7D9v.jpg" TargetMode="External"/><Relationship Id="rId2564" Type="http://schemas.openxmlformats.org/officeDocument/2006/relationships/hyperlink" Target="https://www.elmundo.es/internacional/2018/11/22/5bf6b01b468aeb352a8b463a.html" TargetMode="External"/><Relationship Id="rId3103" Type="http://schemas.openxmlformats.org/officeDocument/2006/relationships/hyperlink" Target="https://www.marca.com/tiramillas/cine-tv/2018/11/22/5bf68932ca4741192f8b4585.html" TargetMode="External"/><Relationship Id="rId3310" Type="http://schemas.openxmlformats.org/officeDocument/2006/relationships/hyperlink" Target="https://twitter.com/pablocasado_/status/1065321038865674241" TargetMode="External"/><Relationship Id="rId3408" Type="http://schemas.openxmlformats.org/officeDocument/2006/relationships/hyperlink" Target="https://www.elmundo.es/economia/macroeconomia/2018/11/21/5bf542fa46163f8e9e8b4669.html" TargetMode="External"/><Relationship Id="rId231" Type="http://schemas.openxmlformats.org/officeDocument/2006/relationships/hyperlink" Target="https://pbs.twimg.com/media/DssQzuUWwAUBIBq.jpg" TargetMode="External"/><Relationship Id="rId329" Type="http://schemas.openxmlformats.org/officeDocument/2006/relationships/hyperlink" Target="https://www.facebook.com/DezayAsociados" TargetMode="External"/><Relationship Id="rId536" Type="http://schemas.openxmlformats.org/officeDocument/2006/relationships/hyperlink" Target="https://youtu.be/a69YhclUCLA" TargetMode="External"/><Relationship Id="rId1166" Type="http://schemas.openxmlformats.org/officeDocument/2006/relationships/hyperlink" Target="https://okdiario.com/espana/2018/11/23/gobierno-elige-separatista-terribas-moderar-debate-sobre-40-anos-constitucion-3381573" TargetMode="External"/><Relationship Id="rId1373" Type="http://schemas.openxmlformats.org/officeDocument/2006/relationships/hyperlink" Target="http://bit.ly/2OYL4jg" TargetMode="External"/><Relationship Id="rId2217" Type="http://schemas.openxmlformats.org/officeDocument/2006/relationships/hyperlink" Target="http://elperiodi.co/ekodo1" TargetMode="External"/><Relationship Id="rId2771" Type="http://schemas.openxmlformats.org/officeDocument/2006/relationships/hyperlink" Target="http://youtu.be/OBEluUwFIu0?a" TargetMode="External"/><Relationship Id="rId2869" Type="http://schemas.openxmlformats.org/officeDocument/2006/relationships/hyperlink" Target="https://pbs.twimg.com/media/DsnnedzVYAAGljo.jpg" TargetMode="External"/><Relationship Id="rId743" Type="http://schemas.openxmlformats.org/officeDocument/2006/relationships/hyperlink" Target="http://www.slaymultimedios.com/" TargetMode="External"/><Relationship Id="rId950" Type="http://schemas.openxmlformats.org/officeDocument/2006/relationships/hyperlink" Target="http://www.lextres.com/" TargetMode="External"/><Relationship Id="rId1026" Type="http://schemas.openxmlformats.org/officeDocument/2006/relationships/hyperlink" Target="https://www.elespanol.com/opinion/tribunas/20181123/carta-abierta-cubano-pedro-sanchez/355334465_12.html" TargetMode="External"/><Relationship Id="rId1580" Type="http://schemas.openxmlformats.org/officeDocument/2006/relationships/hyperlink" Target="https://pbs.twimg.com/media/DsptlqXU8AIHxyr.jpg" TargetMode="External"/><Relationship Id="rId1678" Type="http://schemas.openxmlformats.org/officeDocument/2006/relationships/hyperlink" Target="https://pbs.twimg.com/media/DspdBgAVAAAi-VF.jpg" TargetMode="External"/><Relationship Id="rId1885" Type="http://schemas.openxmlformats.org/officeDocument/2006/relationships/hyperlink" Target="https://ift.tt/2PPp4MU" TargetMode="External"/><Relationship Id="rId2424" Type="http://schemas.openxmlformats.org/officeDocument/2006/relationships/hyperlink" Target="https://pbs.twimg.com/media/DsoS_jXXoAA-Gjj.jpg" TargetMode="External"/><Relationship Id="rId2631"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729"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936" Type="http://schemas.openxmlformats.org/officeDocument/2006/relationships/hyperlink" Target="https://pbs.twimg.com/media/DshXSyYW0AAjGQW.jpg" TargetMode="External"/><Relationship Id="rId603" Type="http://schemas.openxmlformats.org/officeDocument/2006/relationships/hyperlink" Target="http://www.embajadacuba.com.ve/" TargetMode="External"/><Relationship Id="rId810" Type="http://schemas.openxmlformats.org/officeDocument/2006/relationships/hyperlink" Target="https://mundo.sputniknews.com/americalatina/201811231083625188-visita-jefe-gobierno-espana-cuba/" TargetMode="External"/><Relationship Id="rId908" Type="http://schemas.openxmlformats.org/officeDocument/2006/relationships/hyperlink" Target="https://ideas.economiadigital.es/tonia-etxarri/los-tentaculos-del-gobierno_590339_102.html?utm_source=Twitter&amp;utm_medium=Social" TargetMode="External"/><Relationship Id="rId1233" Type="http://schemas.openxmlformats.org/officeDocument/2006/relationships/hyperlink" Target="https://www.20minutos.es/" TargetMode="External"/><Relationship Id="rId1440" Type="http://schemas.openxmlformats.org/officeDocument/2006/relationships/hyperlink" Target="http://www.habanaradio.cu/" TargetMode="External"/><Relationship Id="rId1538" Type="http://schemas.openxmlformats.org/officeDocument/2006/relationships/hyperlink" Target="https://rreloj.wordpress.com/" TargetMode="External"/><Relationship Id="rId1300" Type="http://schemas.openxmlformats.org/officeDocument/2006/relationships/hyperlink" Target="https://www.elmundo.es/espana/2018/11/21/5bf5ab23e2704ea02f8b4581.html" TargetMode="External"/><Relationship Id="rId1745" Type="http://schemas.openxmlformats.org/officeDocument/2006/relationships/hyperlink" Target="http://trabajadores.cu/" TargetMode="External"/><Relationship Id="rId1952" Type="http://schemas.openxmlformats.org/officeDocument/2006/relationships/hyperlink" Target="http://okdiario.com/" TargetMode="External"/><Relationship Id="rId3198" Type="http://schemas.openxmlformats.org/officeDocument/2006/relationships/hyperlink" Target="https://pbs.twimg.com/media/DsnIAf5U4AEINRp.jpg" TargetMode="External"/><Relationship Id="rId37" Type="http://schemas.openxmlformats.org/officeDocument/2006/relationships/hyperlink" Target="https://pbs.twimg.com/media/DssjHVvVsAAWn2Q.jpg" TargetMode="External"/><Relationship Id="rId1605" Type="http://schemas.openxmlformats.org/officeDocument/2006/relationships/hyperlink" Target="http://trabajadores.cu/" TargetMode="External"/><Relationship Id="rId1812" Type="http://schemas.openxmlformats.org/officeDocument/2006/relationships/hyperlink" Target="https://ift.tt/2zpjFlq" TargetMode="External"/><Relationship Id="rId3058" Type="http://schemas.openxmlformats.org/officeDocument/2006/relationships/hyperlink" Target="https://pbs.twimg.com/media/DsnWwQQUUAE6wxa.jpg" TargetMode="External"/><Relationship Id="rId3265" Type="http://schemas.openxmlformats.org/officeDocument/2006/relationships/hyperlink" Target="https://www.facebook.com/ynestrillasabogado/" TargetMode="External"/><Relationship Id="rId3472" Type="http://schemas.openxmlformats.org/officeDocument/2006/relationships/hyperlink" Target="https://okdiario.com/opinion/2018/09/15/mentiroso-chulo-jeta-plagiario-mediocre-censor-3117399" TargetMode="External"/><Relationship Id="rId186" Type="http://schemas.openxmlformats.org/officeDocument/2006/relationships/hyperlink" Target="http://bit.ly/2QhxDzx" TargetMode="External"/><Relationship Id="rId393" Type="http://schemas.openxmlformats.org/officeDocument/2006/relationships/hyperlink" Target="https://www.periodistadigital.com/periodismo/tv/2018/11/22/ferreras-jefe-de-prensa-pedro-sanchez-rafa-hernando-gobierno-pp-borrell.shtml" TargetMode="External"/><Relationship Id="rId2074" Type="http://schemas.openxmlformats.org/officeDocument/2006/relationships/hyperlink" Target="https://www.elconfidencial.com/espana/2018-11-22/telefonica-iberia-air-europa-ceo-empresas-pedro-sanchez-cuba_1663690/" TargetMode="External"/><Relationship Id="rId2281" Type="http://schemas.openxmlformats.org/officeDocument/2006/relationships/hyperlink" Target="https://instagram.com/lauravergas/" TargetMode="External"/><Relationship Id="rId3125" Type="http://schemas.openxmlformats.org/officeDocument/2006/relationships/hyperlink" Target="http://instagram.com/@felixllerenacub" TargetMode="External"/><Relationship Id="rId3332" Type="http://schemas.openxmlformats.org/officeDocument/2006/relationships/hyperlink" Target="http://despiertalfuturo.piensaen.es/" TargetMode="External"/><Relationship Id="rId253" Type="http://schemas.openxmlformats.org/officeDocument/2006/relationships/hyperlink" Target="https://www.facebook.com/kodiario/" TargetMode="External"/><Relationship Id="rId460" Type="http://schemas.openxmlformats.org/officeDocument/2006/relationships/hyperlink" Target="http://www.carlossanchezberzain.com/" TargetMode="External"/><Relationship Id="rId698" Type="http://schemas.openxmlformats.org/officeDocument/2006/relationships/hyperlink" Target="https://www.esdiario.com/238194049/La-prensa-castrista-ya-trata-a-Pedro-Sanchez-de-aexcelentisimoa.html" TargetMode="External"/><Relationship Id="rId1090" Type="http://schemas.openxmlformats.org/officeDocument/2006/relationships/hyperlink" Target="http://ow.ly/agKf30mI9XH" TargetMode="External"/><Relationship Id="rId2141" Type="http://schemas.openxmlformats.org/officeDocument/2006/relationships/hyperlink" Target="https://pbs.twimg.com/media/DsoxcfwWkAYSoNt.jpg" TargetMode="External"/><Relationship Id="rId2379" Type="http://schemas.openxmlformats.org/officeDocument/2006/relationships/hyperlink" Target="http://www.citizengo.org/hazteoir/166670-no-expolie-por-segunda-vez-archivo-salamanca?tc=tw&amp;tcid=52308390" TargetMode="External"/><Relationship Id="rId2586" Type="http://schemas.openxmlformats.org/officeDocument/2006/relationships/hyperlink" Target="https://go.shr.lc/2PKNozD" TargetMode="External"/><Relationship Id="rId2793" Type="http://schemas.openxmlformats.org/officeDocument/2006/relationships/hyperlink" Target="https://www.diariodenavarra.es/noticias/deportes/futbol/osasuna/2018/11/22/el-depor-pierde-pedro-sanchez-para-partido-ante-osasuna-622387-1027.html" TargetMode="External"/><Relationship Id="rId113" Type="http://schemas.openxmlformats.org/officeDocument/2006/relationships/hyperlink" Target="https://elpais.com/elpais/2018/11/21/ciencia/1542793046_378262.html?id_externo_rsoc=TW_CC" TargetMode="External"/><Relationship Id="rId320" Type="http://schemas.openxmlformats.org/officeDocument/2006/relationships/hyperlink" Target="http://eldiario.es/" TargetMode="External"/><Relationship Id="rId558" Type="http://schemas.openxmlformats.org/officeDocument/2006/relationships/hyperlink" Target="https://www.elconfidencial.com/espana/cataluna/2018-11-21/erc-pide-pedro-sanchez-evite-elecciones_1658806/" TargetMode="External"/><Relationship Id="rId765" Type="http://schemas.openxmlformats.org/officeDocument/2006/relationships/hyperlink" Target="https://www.periodistadigital.com/periodismo/tv/2018/11/22/ferreras-jefe-de-prensa-pedro-sanchez-rafa-hernando-gobierno-pp-borrell.shtml" TargetMode="External"/><Relationship Id="rId972" Type="http://schemas.openxmlformats.org/officeDocument/2006/relationships/hyperlink" Target="https://ift.tt/2OY4OmY" TargetMode="External"/><Relationship Id="rId1188" Type="http://schemas.openxmlformats.org/officeDocument/2006/relationships/hyperlink" Target="https://www.20minutos.es/noticia/3499204/0/pedro-sanchez-espana-gibraltar-si-no-hay-cambios-vetaremos-brexit/?utm_source=twitter.com&amp;utm_medium=socialshare&amp;utm_campaign=mobile_web" TargetMode="External"/><Relationship Id="rId1395" Type="http://schemas.openxmlformats.org/officeDocument/2006/relationships/hyperlink" Target="https://goo.gl/Ma2QMV" TargetMode="External"/><Relationship Id="rId2001" Type="http://schemas.openxmlformats.org/officeDocument/2006/relationships/hyperlink" Target="http://listas.20minutos.es/otros/" TargetMode="External"/><Relationship Id="rId2239" Type="http://schemas.openxmlformats.org/officeDocument/2006/relationships/hyperlink" Target="http://www.granma.cu/mundo/2018-11-21/biografia-oficial-del-excmo-sr-pedro-sanchez-perez-castejon-presidente-del-gobierno-del-reino-de-espana-21-11-2018-20-11-30" TargetMode="External"/><Relationship Id="rId2446" Type="http://schemas.openxmlformats.org/officeDocument/2006/relationships/hyperlink" Target="http://ht.ly/SrHv30mICBy" TargetMode="External"/><Relationship Id="rId2653" Type="http://schemas.openxmlformats.org/officeDocument/2006/relationships/hyperlink" Target="https://www.eldiario.es/_31f6512a" TargetMode="External"/><Relationship Id="rId2860" Type="http://schemas.openxmlformats.org/officeDocument/2006/relationships/hyperlink" Target="https://www.elmundo.es/espana/2018/11/21/5bf563b4e5fdea305a8b45c1.html" TargetMode="External"/><Relationship Id="rId418" Type="http://schemas.openxmlformats.org/officeDocument/2006/relationships/hyperlink" Target="https://okdiario.com/espana/2018/11/23/pedro-sanchez-reune-cupula-del-regimen-cubano-palacio-revolucion-3382388?fbclid=IwAR2Fp0Nm8g1fg7lPz-FnEkWhyj0cR6SFtQKZ_r6xzb4Ge14Lrda_mTJSM28" TargetMode="External"/><Relationship Id="rId625" Type="http://schemas.openxmlformats.org/officeDocument/2006/relationships/hyperlink" Target="https://pbs.twimg.com/media/DspIQGkV4AI9Ynq.jpg" TargetMode="External"/><Relationship Id="rId832" Type="http://schemas.openxmlformats.org/officeDocument/2006/relationships/hyperlink" Target="https://mundo.sputniknews.com/americalatina/201811231083624871-visita-pedro-sanchez-cuba/" TargetMode="External"/><Relationship Id="rId1048" Type="http://schemas.openxmlformats.org/officeDocument/2006/relationships/hyperlink" Target="http://www.enliveapps.com/" TargetMode="External"/><Relationship Id="rId1255" Type="http://schemas.openxmlformats.org/officeDocument/2006/relationships/hyperlink" Target="https://www.periodistadigital.com/politica/gobierno/2018/11/23/el-ridiculo-del-inepto-pedro-sanchez-ante-theresa-may-y-su-venganza-por-gibraltar.shtml" TargetMode="External"/><Relationship Id="rId1462" Type="http://schemas.openxmlformats.org/officeDocument/2006/relationships/hyperlink" Target="http://elperiodi.co/4nakh1" TargetMode="External"/><Relationship Id="rId2306" Type="http://schemas.openxmlformats.org/officeDocument/2006/relationships/hyperlink" Target="https://www.elmundo.es/espana/2018/11/21/5bf5ab23e2704ea02f8b4581.html" TargetMode="External"/><Relationship Id="rId2513" Type="http://schemas.openxmlformats.org/officeDocument/2006/relationships/hyperlink" Target="https://es.linkedin.com/in/elenagomezdelpozuelo" TargetMode="External"/><Relationship Id="rId2958" Type="http://schemas.openxmlformats.org/officeDocument/2006/relationships/hyperlink" Target="https://diariopatriota.com/pedro-sanchez-acuerda-con-marruecos-pagar-los-estudios-a-los-estudiantes-marroquies/" TargetMode="External"/><Relationship Id="rId1115" Type="http://schemas.openxmlformats.org/officeDocument/2006/relationships/hyperlink" Target="https://pbs.twimg.com/media/Dsq9QCCW0AApxzc.jpg" TargetMode="External"/><Relationship Id="rId1322" Type="http://schemas.openxmlformats.org/officeDocument/2006/relationships/hyperlink" Target="https://www.meneame.net/story/polonia-pedro-sanchez-hace-contrario-dice" TargetMode="External"/><Relationship Id="rId1767" Type="http://schemas.openxmlformats.org/officeDocument/2006/relationships/hyperlink" Target="http://portaldiario.net/" TargetMode="External"/><Relationship Id="rId1974" Type="http://schemas.openxmlformats.org/officeDocument/2006/relationships/hyperlink" Target="https://www.elmundo.es/internacional/2018/11/22/5bf6f35e22601d07268b4597.html" TargetMode="External"/><Relationship Id="rId2720" Type="http://schemas.openxmlformats.org/officeDocument/2006/relationships/hyperlink" Target="http://www.radioequinoccio.com/" TargetMode="External"/><Relationship Id="rId2818" Type="http://schemas.openxmlformats.org/officeDocument/2006/relationships/hyperlink" Target="https://www.14ymedio.com/reportajes/yumas-cosa-pepes-familia_0_2551544825.html" TargetMode="External"/><Relationship Id="rId59" Type="http://schemas.openxmlformats.org/officeDocument/2006/relationships/hyperlink" Target="https://www.periodistadigital.com/politica/gobierno/2018/11/23/el-ridiculo-del-inepto-pedro-sanchez-ante-theresa-may-y-su-venganza-por-gibraltar.shtml" TargetMode="External"/><Relationship Id="rId1627" Type="http://schemas.openxmlformats.org/officeDocument/2006/relationships/hyperlink" Target="https://go.shr.lc/2Ab2hR4" TargetMode="External"/><Relationship Id="rId1834" Type="http://schemas.openxmlformats.org/officeDocument/2006/relationships/hyperlink" Target="https://ift.tt/2DT5WHG" TargetMode="External"/><Relationship Id="rId3287" Type="http://schemas.openxmlformats.org/officeDocument/2006/relationships/hyperlink" Target="https://twitter.com/ggohom/status/1065399415370846208" TargetMode="External"/><Relationship Id="rId2096" Type="http://schemas.openxmlformats.org/officeDocument/2006/relationships/hyperlink" Target="https://twitter.com/sanchezcastejon/status/1065719004923342850" TargetMode="External"/><Relationship Id="rId3494" Type="http://schemas.openxmlformats.org/officeDocument/2006/relationships/hyperlink" Target="https://elpais.com/politica/2018/11/21/actualidad/1542810485_448113.html?id_externo_rsoc=TW_CC" TargetMode="External"/><Relationship Id="rId1901" Type="http://schemas.openxmlformats.org/officeDocument/2006/relationships/hyperlink" Target="https://pbs.twimg.com/media/DspFcZCU8AAmH8P.jpg" TargetMode="External"/><Relationship Id="rId3147" Type="http://schemas.openxmlformats.org/officeDocument/2006/relationships/hyperlink" Target="http://www.c3c.es/index.htm" TargetMode="External"/><Relationship Id="rId3354" Type="http://schemas.openxmlformats.org/officeDocument/2006/relationships/hyperlink" Target="https://www.elmundo.es/internacional/2018/11/22/5bf6946b268e3eeb2c8b45c4.html" TargetMode="External"/><Relationship Id="rId3561" Type="http://schemas.openxmlformats.org/officeDocument/2006/relationships/hyperlink" Target="https://www.hispanidad.com/confidencial/durisima-acusacion-contra-pedro-sanchez-el-opositor-farinas-sobre-la-visita-presidencial-a-cuba-demuestra-su-complicidad-con-el-regimen-castrista_12005666_102.html?utm_source=Twitter&amp;utm_medium=Social&amp;utm_content=Post" TargetMode="External"/><Relationship Id="rId275" Type="http://schemas.openxmlformats.org/officeDocument/2006/relationships/hyperlink" Target="http://www.pressdigital.es/" TargetMode="External"/><Relationship Id="rId482" Type="http://schemas.openxmlformats.org/officeDocument/2006/relationships/hyperlink" Target="https://www.europapress.es/nacional/noticia-pablo-iglesias-asegura-no-apoyara-pedro-sanchez-patrioterismos-extranos-relacion-gibraltar-20181123115328.html" TargetMode="External"/><Relationship Id="rId2163" Type="http://schemas.openxmlformats.org/officeDocument/2006/relationships/hyperlink" Target="https://www.elmundo.es/internacional/2018/11/22/5bf6b01b468aeb352a8b463a.html" TargetMode="External"/><Relationship Id="rId2370" Type="http://schemas.openxmlformats.org/officeDocument/2006/relationships/hyperlink" Target="http://www.madrid.ccoo.es/sanidadmadrid/" TargetMode="External"/><Relationship Id="rId3007" Type="http://schemas.openxmlformats.org/officeDocument/2006/relationships/hyperlink" Target="http://www.hortanoticias.com/" TargetMode="External"/><Relationship Id="rId3214" Type="http://schemas.openxmlformats.org/officeDocument/2006/relationships/hyperlink" Target="http://youtu.be/sKzkfA76whw?a" TargetMode="External"/><Relationship Id="rId3421" Type="http://schemas.openxmlformats.org/officeDocument/2006/relationships/hyperlink" Target="https://okdiario.com/espana/2018/11/21/sanchez-mando-coche-oficial-vacio-valladolid-hacer-8-kms-del-aeropuerto-ciudad-3377374" TargetMode="External"/><Relationship Id="rId135" Type="http://schemas.openxmlformats.org/officeDocument/2006/relationships/hyperlink" Target="http://www.noticanarias.com/" TargetMode="External"/><Relationship Id="rId342" Type="http://schemas.openxmlformats.org/officeDocument/2006/relationships/hyperlink" Target="http://noticiasgibraltar.es/" TargetMode="External"/><Relationship Id="rId787" Type="http://schemas.openxmlformats.org/officeDocument/2006/relationships/hyperlink" Target="https://twitter.com/hermanntertsch/status/1065693079720640512" TargetMode="External"/><Relationship Id="rId994" Type="http://schemas.openxmlformats.org/officeDocument/2006/relationships/hyperlink" Target="https://pbs.twimg.com/media/DsrGOX8U4AAkwp4.jpg" TargetMode="External"/><Relationship Id="rId2023" Type="http://schemas.openxmlformats.org/officeDocument/2006/relationships/hyperlink" Target="https://pbs.twimg.com/media/Dso8IZiV4AEuZCO.jpg" TargetMode="External"/><Relationship Id="rId2230" Type="http://schemas.openxmlformats.org/officeDocument/2006/relationships/hyperlink" Target="https://pbs.twimg.com/media/DsooeX5VAAAfMZR.jpg" TargetMode="External"/><Relationship Id="rId2468" Type="http://schemas.openxmlformats.org/officeDocument/2006/relationships/hyperlink" Target="https://www.libertaddigital.com/espana/2018-11-22/pedro-sanchez-viaja-a-cuba-para-rendir-pleitesia-al-regimen-castrista-1276628700/" TargetMode="External"/><Relationship Id="rId2675" Type="http://schemas.openxmlformats.org/officeDocument/2006/relationships/hyperlink" Target="http://bit.ly/2OV1OYJ" TargetMode="External"/><Relationship Id="rId2882" Type="http://schemas.openxmlformats.org/officeDocument/2006/relationships/hyperlink" Target="https://www.lavanguardia.com/internacional/20181122/453095361973/may-espana-soberania-britanica-gibraltar-acuerdo-brexit.html?utm_source=twitter_lv&amp;utm_medium=social" TargetMode="External"/><Relationship Id="rId3519" Type="http://schemas.openxmlformats.org/officeDocument/2006/relationships/hyperlink" Target="https://elpais.com/politica/2018/11/21/actualidad/1542810485_448113.html?id_externo_rsoc=FB_CC" TargetMode="External"/><Relationship Id="rId202" Type="http://schemas.openxmlformats.org/officeDocument/2006/relationships/hyperlink" Target="https://www.abc.es/espana/abci-reino-unido-compromete-contar-espana-para-negociar-futuro-gibraltar-201811231439_noticia.html" TargetMode="External"/><Relationship Id="rId647" Type="http://schemas.openxmlformats.org/officeDocument/2006/relationships/hyperlink" Target="https://www.europapress.es/nacional/noticia-pablo-iglesias-asegura-no-apoyara-pedro-sanchez-patrioterismos-extranos-relacion-gibraltar-20181123115328.html" TargetMode="External"/><Relationship Id="rId854" Type="http://schemas.openxmlformats.org/officeDocument/2006/relationships/hyperlink" Target="https://situacionesdficiles.blog/" TargetMode="External"/><Relationship Id="rId1277" Type="http://schemas.openxmlformats.org/officeDocument/2006/relationships/hyperlink" Target="https://pbs.twimg.com/media/Dsqkql6WkAIP2g4.jpg" TargetMode="External"/><Relationship Id="rId1484" Type="http://schemas.openxmlformats.org/officeDocument/2006/relationships/hyperlink" Target="https://www.radiotelevisionmarti.com/a/no-hay-cambios-en-cuba-empresas-espa%C3%B1olas-solo-buscan-posicionarse-opinan-expertos/221224.html" TargetMode="External"/><Relationship Id="rId1691" Type="http://schemas.openxmlformats.org/officeDocument/2006/relationships/hyperlink" Target="http://shr.gs/mFvYK9Q" TargetMode="External"/><Relationship Id="rId2328" Type="http://schemas.openxmlformats.org/officeDocument/2006/relationships/hyperlink" Target="https://www.mercacei.com/noticia/49802/actualidad/el-chef-pedro-sanchez-restaurante-baga-primer-cocinero-de-la-provincia-de-jaen-en-obtener-una-estrella-michelin.html" TargetMode="External"/><Relationship Id="rId2535" Type="http://schemas.openxmlformats.org/officeDocument/2006/relationships/hyperlink" Target="https://www.radiotelevisionmarti.com/a/portavoz-del-pp-en-el-senado-interpela-a-canciller-espa%c3%b1ol-sobre-cuba-venezuela-y-nicaragua/219062.html" TargetMode="External"/><Relationship Id="rId2742" Type="http://schemas.openxmlformats.org/officeDocument/2006/relationships/hyperlink" Target="https://pbs.twimg.com/media/DsnxJ-6XQAIvAiB.jpg" TargetMode="External"/><Relationship Id="rId507" Type="http://schemas.openxmlformats.org/officeDocument/2006/relationships/hyperlink" Target="http://masfm935.com.ar/" TargetMode="External"/><Relationship Id="rId714" Type="http://schemas.openxmlformats.org/officeDocument/2006/relationships/hyperlink" Target="https://gaceta.es/mundo/pedro-sanchez-propone-la-visita-de-los-reyes-a-cuba-en-2019-20181123-1014/" TargetMode="External"/><Relationship Id="rId921" Type="http://schemas.openxmlformats.org/officeDocument/2006/relationships/hyperlink" Target="https://pbs.twimg.com/media/DsrM8tXUUAAFJQ8.jpg" TargetMode="External"/><Relationship Id="rId1137" Type="http://schemas.openxmlformats.org/officeDocument/2006/relationships/hyperlink" Target="http://www.turjaen.org/" TargetMode="External"/><Relationship Id="rId1344" Type="http://schemas.openxmlformats.org/officeDocument/2006/relationships/hyperlink" Target="https://peliculasdeactualidad.wordpress.com/" TargetMode="External"/><Relationship Id="rId1551" Type="http://schemas.openxmlformats.org/officeDocument/2006/relationships/hyperlink" Target="https://ift.tt/2PNVPu4" TargetMode="External"/><Relationship Id="rId1789" Type="http://schemas.openxmlformats.org/officeDocument/2006/relationships/hyperlink" Target="https://twitter.com/alonso_dm/status/1062466892298891264" TargetMode="External"/><Relationship Id="rId1996" Type="http://schemas.openxmlformats.org/officeDocument/2006/relationships/hyperlink" Target="https://diariodeavisos.elespanol.com/2018/11/pedro-sanchez-llega-a-la-habana-para-su-primera-visita-oficial-a-cuba/" TargetMode="External"/><Relationship Id="rId2602" Type="http://schemas.openxmlformats.org/officeDocument/2006/relationships/hyperlink" Target="https://nuevarevolucion.es/pedro-sanchez-el-paso-atras-de-la-izquierda/" TargetMode="External"/><Relationship Id="rId50" Type="http://schemas.openxmlformats.org/officeDocument/2006/relationships/hyperlink" Target="https://twitter.com/DiazCanelB/status/1065930002380845056" TargetMode="External"/><Relationship Id="rId1204" Type="http://schemas.openxmlformats.org/officeDocument/2006/relationships/hyperlink" Target="https://okdiario.com/autor/liberal" TargetMode="External"/><Relationship Id="rId1411" Type="http://schemas.openxmlformats.org/officeDocument/2006/relationships/hyperlink" Target="http://epmundo.com/" TargetMode="External"/><Relationship Id="rId1649" Type="http://schemas.openxmlformats.org/officeDocument/2006/relationships/hyperlink" Target="http://www.forotv.com.mx/" TargetMode="External"/><Relationship Id="rId1856" Type="http://schemas.openxmlformats.org/officeDocument/2006/relationships/hyperlink" Target="http://delegacionscatalunya.gencat.cat/ca/delegacions/tarragona/salutacio/" TargetMode="External"/><Relationship Id="rId2907" Type="http://schemas.openxmlformats.org/officeDocument/2006/relationships/hyperlink" Target="http://www.elmundo.es/internacional/2018/11/22/5bf6b01b468aeb352a8b463a.html" TargetMode="External"/><Relationship Id="rId3071" Type="http://schemas.openxmlformats.org/officeDocument/2006/relationships/hyperlink" Target="https://okdiario.com/espana/2018/11/21/sanchez-mando-coche-oficial-vacio-valladolid-hacer-8-kms-del-aeropuerto-ciudad-3377374" TargetMode="External"/><Relationship Id="rId1509" Type="http://schemas.openxmlformats.org/officeDocument/2006/relationships/hyperlink" Target="https://pbs.twimg.com/media/Dsp42_EU8AEV6Y5.jpg" TargetMode="External"/><Relationship Id="rId1716" Type="http://schemas.openxmlformats.org/officeDocument/2006/relationships/hyperlink" Target="http://www.elperiodico.com/" TargetMode="External"/><Relationship Id="rId1923" Type="http://schemas.openxmlformats.org/officeDocument/2006/relationships/hyperlink" Target="https://pbs.twimg.com/media/DspECXmU0AE3Wc4.jpg" TargetMode="External"/><Relationship Id="rId3169" Type="http://schemas.openxmlformats.org/officeDocument/2006/relationships/hyperlink" Target="https://twitter.com/Proserpinasb/status/1065514871331139589" TargetMode="External"/><Relationship Id="rId3376" Type="http://schemas.openxmlformats.org/officeDocument/2006/relationships/hyperlink" Target="http://www.asajamurcia.com/" TargetMode="External"/><Relationship Id="rId297" Type="http://schemas.openxmlformats.org/officeDocument/2006/relationships/hyperlink" Target="https://pbs.twimg.com/media/DssMpmYXoAENysG.jpg" TargetMode="External"/><Relationship Id="rId2185" Type="http://schemas.openxmlformats.org/officeDocument/2006/relationships/hyperlink" Target="http://www.josesimongracia.es/" TargetMode="External"/><Relationship Id="rId2392" Type="http://schemas.openxmlformats.org/officeDocument/2006/relationships/hyperlink" Target="http://www.durasymaduras.blogspot.com/" TargetMode="External"/><Relationship Id="rId3029" Type="http://schemas.openxmlformats.org/officeDocument/2006/relationships/hyperlink" Target="http://www.libertaddigital.com/opinion/fray-josepho/" TargetMode="External"/><Relationship Id="rId3236" Type="http://schemas.openxmlformats.org/officeDocument/2006/relationships/hyperlink" Target="https://www.elconfidencialdigital.com/articulo/dinero/pedro-sanchez-ampliara-decreto-enero-permisos-paternidad/20181121190407118402.html" TargetMode="External"/><Relationship Id="rId157" Type="http://schemas.openxmlformats.org/officeDocument/2006/relationships/hyperlink" Target="http://www.expansion.com/economia/2018/11/12/5be9e4b2e2704e90858b4583.html" TargetMode="External"/><Relationship Id="rId364" Type="http://schemas.openxmlformats.org/officeDocument/2006/relationships/hyperlink" Target="https://estudioslatinoseiberoamericanos.wordpress.com/2016/08/06/espana-debe-dejar-el-bloqueo-politico-y-continuar-su-buen-ritmo-consolidando-lo-bien-logrado-e-ir-por-mas-a-que-le-dice-no-pedro-sanchez-cuando-el-no-p-2/" TargetMode="External"/><Relationship Id="rId2045" Type="http://schemas.openxmlformats.org/officeDocument/2006/relationships/hyperlink" Target="https://twitter.com/gonnassau/status/1065336258048786433" TargetMode="External"/><Relationship Id="rId2697" Type="http://schemas.openxmlformats.org/officeDocument/2006/relationships/hyperlink" Target="https://v24news.com/2018/11/las-claves-del-viaje-de-pedro-sanchez-a-cuba/" TargetMode="External"/><Relationship Id="rId3443" Type="http://schemas.openxmlformats.org/officeDocument/2006/relationships/hyperlink" Target="http://ociososmadrid.blogspot.com/" TargetMode="External"/><Relationship Id="rId571" Type="http://schemas.openxmlformats.org/officeDocument/2006/relationships/hyperlink" Target="http://www.cambio16.com/" TargetMode="External"/><Relationship Id="rId669" Type="http://schemas.openxmlformats.org/officeDocument/2006/relationships/hyperlink" Target="https://twitter.com/BeatrizTalegon/status/1065292464704106497" TargetMode="External"/><Relationship Id="rId876" Type="http://schemas.openxmlformats.org/officeDocument/2006/relationships/hyperlink" Target="https://pbs.twimg.com/media/DsrSBcLUUAADdxr.jpg" TargetMode="External"/><Relationship Id="rId1299" Type="http://schemas.openxmlformats.org/officeDocument/2006/relationships/hyperlink" Target="http://silviavelazquezmiranda.blogspot.com/" TargetMode="External"/><Relationship Id="rId2252" Type="http://schemas.openxmlformats.org/officeDocument/2006/relationships/hyperlink" Target="http://www.citizengo.org/hazteoir/166670-no-expolie-por-segunda-vez-archivo-salamanca?tc=tw&amp;tcid=52309150" TargetMode="External"/><Relationship Id="rId2557" Type="http://schemas.openxmlformats.org/officeDocument/2006/relationships/hyperlink" Target="http://dlvr.it/QrsxPG" TargetMode="External"/><Relationship Id="rId3303" Type="http://schemas.openxmlformats.org/officeDocument/2006/relationships/hyperlink" Target="https://www.elmundo.es/espana/2018/11/21/5bf563b4e5fdea305a8b45c1.html" TargetMode="External"/><Relationship Id="rId3510" Type="http://schemas.openxmlformats.org/officeDocument/2006/relationships/hyperlink" Target="http://www.ondacero.es/programas/noticias-mediodia/" TargetMode="External"/><Relationship Id="rId224" Type="http://schemas.openxmlformats.org/officeDocument/2006/relationships/hyperlink" Target="http://bit.ly/2AeCyqZ" TargetMode="External"/><Relationship Id="rId431" Type="http://schemas.openxmlformats.org/officeDocument/2006/relationships/hyperlink" Target="https://www.youtube.com/channel/UC03ra7_FNqzCzVs43anV2Mg" TargetMode="External"/><Relationship Id="rId529" Type="http://schemas.openxmlformats.org/officeDocument/2006/relationships/hyperlink" Target="https://pbs.twimg.com/media/Dsr5EI2XQAAYZmX.jpg" TargetMode="External"/><Relationship Id="rId736" Type="http://schemas.openxmlformats.org/officeDocument/2006/relationships/hyperlink" Target="http://gente.si/" TargetMode="External"/><Relationship Id="rId1061" Type="http://schemas.openxmlformats.org/officeDocument/2006/relationships/hyperlink" Target="https://www.elconfidencial.com/espana/2018-11-23/pedro-sanchez-adelanto-electoral-superdomingo-barones_1663322/" TargetMode="External"/><Relationship Id="rId1159" Type="http://schemas.openxmlformats.org/officeDocument/2006/relationships/hyperlink" Target="https://pbs.twimg.com/media/Dsq4HAfWkAAUBuP.jpg" TargetMode="External"/><Relationship Id="rId1366" Type="http://schemas.openxmlformats.org/officeDocument/2006/relationships/hyperlink" Target="http://www.radiocubana.cu/" TargetMode="External"/><Relationship Id="rId2112" Type="http://schemas.openxmlformats.org/officeDocument/2006/relationships/hyperlink" Target="http://ver.20m.es/dlw8r1" TargetMode="External"/><Relationship Id="rId2417" Type="http://schemas.openxmlformats.org/officeDocument/2006/relationships/hyperlink" Target="https://www.periodistadigital.com/periodismo/tv/2018/11/22/ferreras-jefe-de-prensa-pedro-sanchez-rafa-hernando-gobierno-pp-borrell.shtml" TargetMode="External"/><Relationship Id="rId2764" Type="http://schemas.openxmlformats.org/officeDocument/2006/relationships/hyperlink" Target="http://pp-asturias.com/Sala_de_Prensa/Noticias/La_politica_energetica_del_PSOE_cierra_Asturias_y_supondra_estancamiento_desolacion_y_paro" TargetMode="External"/><Relationship Id="rId2971" Type="http://schemas.openxmlformats.org/officeDocument/2006/relationships/hyperlink" Target="http://www.gppopular.es/diputados/jose-alberto-herrero-bono/" TargetMode="External"/><Relationship Id="rId943" Type="http://schemas.openxmlformats.org/officeDocument/2006/relationships/hyperlink" Target="https://bit.ly/2S3B4Ho" TargetMode="External"/><Relationship Id="rId1019" Type="http://schemas.openxmlformats.org/officeDocument/2006/relationships/hyperlink" Target="http://www.rtve.es/lasmananas" TargetMode="External"/><Relationship Id="rId1573" Type="http://schemas.openxmlformats.org/officeDocument/2006/relationships/hyperlink" Target="http://bit.ly/2FBZx54" TargetMode="External"/><Relationship Id="rId1780" Type="http://schemas.openxmlformats.org/officeDocument/2006/relationships/hyperlink" Target="https://pbs.twimg.com/media/DspSEaMXgAA3ipB.jpg" TargetMode="External"/><Relationship Id="rId1878" Type="http://schemas.openxmlformats.org/officeDocument/2006/relationships/hyperlink" Target="https://pbs.twimg.com/media/DspHop7U0AIlTAc.jpg" TargetMode="External"/><Relationship Id="rId2624" Type="http://schemas.openxmlformats.org/officeDocument/2006/relationships/hyperlink" Target="https://www.libertaddigital.com/espana/2018-11-21/pedro-sanchez-pide-a-casado-y-rufian-que-pidan-discupas-por-el-escupitajo-de-erc-a-borell-1276628638/" TargetMode="External"/><Relationship Id="rId2831" Type="http://schemas.openxmlformats.org/officeDocument/2006/relationships/hyperlink" Target="http://www.multiforo.eu/" TargetMode="External"/><Relationship Id="rId2929" Type="http://schemas.openxmlformats.org/officeDocument/2006/relationships/hyperlink" Target="https://trib.al/qqatm5G" TargetMode="External"/><Relationship Id="rId72" Type="http://schemas.openxmlformats.org/officeDocument/2006/relationships/hyperlink" Target="https://okdiario.com/espana/2018/11/23/casado-reprocha-sanchez-que-no-llegue-tiempo-acuerdo-sobre-gibraltar-favorable-3383292" TargetMode="External"/><Relationship Id="rId803" Type="http://schemas.openxmlformats.org/officeDocument/2006/relationships/hyperlink" Target="https://www.instagram.com/pablomm_1/" TargetMode="External"/><Relationship Id="rId1226" Type="http://schemas.openxmlformats.org/officeDocument/2006/relationships/hyperlink" Target="https://www.elconfidencial.com/espana/cataluna/2018-11-21/erc-pide-pedro-sanchez-evite-elecciones_1658806/?utm_source=twitter&amp;utm_medium=social&amp;utm_campaign=BotoneraWeb" TargetMode="External"/><Relationship Id="rId1433" Type="http://schemas.openxmlformats.org/officeDocument/2006/relationships/hyperlink" Target="https://pbs.twimg.com/media/DsqDP93U8AAr_6S.jpg" TargetMode="External"/><Relationship Id="rId1640" Type="http://schemas.openxmlformats.org/officeDocument/2006/relationships/hyperlink" Target="https://www.facebook.com/pages/Espa%C3%B1oles-y-Venezolanos-Anti-Podemos/885396501484393?sk=timeline" TargetMode="External"/><Relationship Id="rId1738" Type="http://schemas.openxmlformats.org/officeDocument/2006/relationships/hyperlink" Target="http://www.redmas.com.co/" TargetMode="External"/><Relationship Id="rId3093" Type="http://schemas.openxmlformats.org/officeDocument/2006/relationships/hyperlink" Target="https://nzzl.us/1j0Jh6k" TargetMode="External"/><Relationship Id="rId1500" Type="http://schemas.openxmlformats.org/officeDocument/2006/relationships/hyperlink" Target="https://interactive.news.sky.com/2017/brexit-countdown/" TargetMode="External"/><Relationship Id="rId1945" Type="http://schemas.openxmlformats.org/officeDocument/2006/relationships/hyperlink" Target="http://misiones.minrex.gob.cu/es/espana/consulado-general-de-cuba-en-islas-canarias" TargetMode="External"/><Relationship Id="rId3160" Type="http://schemas.openxmlformats.org/officeDocument/2006/relationships/hyperlink" Target="http://www.juancarlosromero.wordpress.com/" TargetMode="External"/><Relationship Id="rId3398" Type="http://schemas.openxmlformats.org/officeDocument/2006/relationships/hyperlink" Target="http://wp.me/p76pmQ-r7" TargetMode="External"/><Relationship Id="rId1805" Type="http://schemas.openxmlformats.org/officeDocument/2006/relationships/hyperlink" Target="https://pbs.twimg.com/media/DspO0qXU4AE9vgP.jpg" TargetMode="External"/><Relationship Id="rId3020" Type="http://schemas.openxmlformats.org/officeDocument/2006/relationships/hyperlink" Target="https://www.elmundo.es/internacional/2018/11/22/5bf6b01b468aeb352a8b463a.html" TargetMode="External"/><Relationship Id="rId3258" Type="http://schemas.openxmlformats.org/officeDocument/2006/relationships/hyperlink" Target="https://www.facebook.com/nuevasgeneraciones.calahorra/posts/921378311366252" TargetMode="External"/><Relationship Id="rId3465" Type="http://schemas.openxmlformats.org/officeDocument/2006/relationships/hyperlink" Target="https://www.elindependiente.com/politica/2018/11/22/la-ue-y-reino-unido-ignora-a-espana-y-pactan-una-declaracion-sobre-el-brexit-que-no-menciona-a-gibraltar/?utm_source=share_buttons&amp;utm_medium=twitter&amp;utm_campaign=social_share2" TargetMode="External"/><Relationship Id="rId179" Type="http://schemas.openxmlformats.org/officeDocument/2006/relationships/hyperlink" Target="http://paper.li/VAntoniox/1323279578" TargetMode="External"/><Relationship Id="rId386" Type="http://schemas.openxmlformats.org/officeDocument/2006/relationships/hyperlink" Target="https://pbs.twimg.com/media/DssAwoHXgAAf0_O.jpg" TargetMode="External"/><Relationship Id="rId593" Type="http://schemas.openxmlformats.org/officeDocument/2006/relationships/hyperlink" Target="http://atres.red/rz35j6" TargetMode="External"/><Relationship Id="rId2067" Type="http://schemas.openxmlformats.org/officeDocument/2006/relationships/hyperlink" Target="http://www.garantiasambientales.blogspot.com/" TargetMode="External"/><Relationship Id="rId2274" Type="http://schemas.openxmlformats.org/officeDocument/2006/relationships/hyperlink" Target="http://www.instagram.com/rubiikoy" TargetMode="External"/><Relationship Id="rId2481" Type="http://schemas.openxmlformats.org/officeDocument/2006/relationships/hyperlink" Target="https://www.periodistadigital.com/periodismo/prensa/2018/11/22/alfonso-ussia-borra-sonrisa-egolatra-sanchez-manda-volando-psiquiatrico.shtml" TargetMode="External"/><Relationship Id="rId3118" Type="http://schemas.openxmlformats.org/officeDocument/2006/relationships/hyperlink" Target="http://www.linkedin.com/in/frubira" TargetMode="External"/><Relationship Id="rId3325" Type="http://schemas.openxmlformats.org/officeDocument/2006/relationships/hyperlink" Target="http://www.expansion.com/economia/2018/11/22/5bf695cbca4741124c8b45f2.html" TargetMode="External"/><Relationship Id="rId3532" Type="http://schemas.openxmlformats.org/officeDocument/2006/relationships/hyperlink" Target="https://pbs.twimg.com/media/DsmjCGwXoAAT9tx.jpg" TargetMode="External"/><Relationship Id="rId246" Type="http://schemas.openxmlformats.org/officeDocument/2006/relationships/hyperlink" Target="http://dlvr.it/Qrx2lB" TargetMode="External"/><Relationship Id="rId453" Type="http://schemas.openxmlformats.org/officeDocument/2006/relationships/hyperlink" Target="https://pbs.twimg.com/media/Dsr8sQOWoAAQKP-.jpg" TargetMode="External"/><Relationship Id="rId660" Type="http://schemas.openxmlformats.org/officeDocument/2006/relationships/hyperlink" Target="https://www.elconfidencial.com/espana/2018-11-23/pedro-sanchez-adelanto-electoral-superdomingo-barones_1663322/" TargetMode="External"/><Relationship Id="rId898" Type="http://schemas.openxmlformats.org/officeDocument/2006/relationships/hyperlink" Target="http://www.notimerica.com/" TargetMode="External"/><Relationship Id="rId1083" Type="http://schemas.openxmlformats.org/officeDocument/2006/relationships/hyperlink" Target="https://laeducacion.us/pedro-sanchez-primer-jefe-de-gobierno-espanol-en-visitar-cuba/" TargetMode="External"/><Relationship Id="rId1290" Type="http://schemas.openxmlformats.org/officeDocument/2006/relationships/hyperlink" Target="https://www.elconfidencial.com/espana/2018-11-23/pedro-sanchez-adelanto-electoral-superdomingo-barones_1663322/" TargetMode="External"/><Relationship Id="rId2134" Type="http://schemas.openxmlformats.org/officeDocument/2006/relationships/hyperlink" Target="https://pbs.twimg.com/media/DsoyPjTV4AAR5nL.jpg" TargetMode="External"/><Relationship Id="rId2341" Type="http://schemas.openxmlformats.org/officeDocument/2006/relationships/hyperlink" Target="http://adopcionespiritual.org/" TargetMode="External"/><Relationship Id="rId2579" Type="http://schemas.openxmlformats.org/officeDocument/2006/relationships/hyperlink" Target="https://pbs.twimg.com/media/DsoBYK1UcAArBDO.jpg" TargetMode="External"/><Relationship Id="rId2786" Type="http://schemas.openxmlformats.org/officeDocument/2006/relationships/hyperlink" Target="https://casoaislado.com/miles-espanoles-critican-pedro-sanchez-piden-dimision-tras-cargarse-al-abogado-del-estado-dimite-ya-traidor/" TargetMode="External"/><Relationship Id="rId2993" Type="http://schemas.openxmlformats.org/officeDocument/2006/relationships/hyperlink" Target="https://www.elconfidencialdigital.com/articulo/politica/moncloa-filtro-candidatura-borrell-europeas-despues-pdecat-erc-pidieran-cabeza-contrapartida-seguir-apoyando-gobierno/20181121192512118406.html" TargetMode="External"/><Relationship Id="rId106" Type="http://schemas.openxmlformats.org/officeDocument/2006/relationships/hyperlink" Target="https://okdiario.com/espana/2018/11/23/cuando-sanchez-reprochaba-rajoy-que-bruselas-habia-tumbado-presupuestos-3380128" TargetMode="External"/><Relationship Id="rId313" Type="http://schemas.openxmlformats.org/officeDocument/2006/relationships/hyperlink" Target="http://www.eldiario.es/" TargetMode="External"/><Relationship Id="rId758" Type="http://schemas.openxmlformats.org/officeDocument/2006/relationships/hyperlink" Target="https://www.heraldo.es/tags/autores/victor_serrano_entio.html" TargetMode="External"/><Relationship Id="rId965" Type="http://schemas.openxmlformats.org/officeDocument/2006/relationships/hyperlink" Target="https://pbs.twimg.com/media/DsrI8sMWoAAk0le.jpg" TargetMode="External"/><Relationship Id="rId1150" Type="http://schemas.openxmlformats.org/officeDocument/2006/relationships/hyperlink" Target="http://bit.ly/2PP87Cb" TargetMode="External"/><Relationship Id="rId1388" Type="http://schemas.openxmlformats.org/officeDocument/2006/relationships/hyperlink" Target="http://www.radioreloj.cu/" TargetMode="External"/><Relationship Id="rId1595" Type="http://schemas.openxmlformats.org/officeDocument/2006/relationships/hyperlink" Target="https://pbs.twimg.com/media/DsprE4eXcAAh6ws.jpg" TargetMode="External"/><Relationship Id="rId2439" Type="http://schemas.openxmlformats.org/officeDocument/2006/relationships/hyperlink" Target="http://cope.es/jaen" TargetMode="External"/><Relationship Id="rId2646" Type="http://schemas.openxmlformats.org/officeDocument/2006/relationships/hyperlink" Target="http://www.elmundo.es/internacional/2018/11/22/5bf6b01b468aeb352a8b463a.html" TargetMode="External"/><Relationship Id="rId2853" Type="http://schemas.openxmlformats.org/officeDocument/2006/relationships/hyperlink" Target="http://www.noticiasdemajadahonda.es/" TargetMode="External"/><Relationship Id="rId94" Type="http://schemas.openxmlformats.org/officeDocument/2006/relationships/hyperlink" Target="https://okdiario.com/espana/2018/11/23/casado-reprocha-sanchez-que-no-llegue-tiempo-acuerdo-sobre-gibraltar-favorable-3383292" TargetMode="External"/><Relationship Id="rId520" Type="http://schemas.openxmlformats.org/officeDocument/2006/relationships/hyperlink" Target="https://pbs.twimg.com/media/Dsr5YIPWsAEmJV7.jpg" TargetMode="External"/><Relationship Id="rId618" Type="http://schemas.openxmlformats.org/officeDocument/2006/relationships/hyperlink" Target="http://cope.es/jaen" TargetMode="External"/><Relationship Id="rId825" Type="http://schemas.openxmlformats.org/officeDocument/2006/relationships/hyperlink" Target="https://pbs.twimg.com/media/DsoviQqW0AA7hMb.jpg" TargetMode="External"/><Relationship Id="rId1248" Type="http://schemas.openxmlformats.org/officeDocument/2006/relationships/hyperlink" Target="http://ver.20m.es/fpinu2" TargetMode="External"/><Relationship Id="rId1455" Type="http://schemas.openxmlformats.org/officeDocument/2006/relationships/hyperlink" Target="https://www.cibercuba.com/videos/noticias/2018-11-23-u1-e199291-s27061-pedro-sanchez-inicia-su-vista-habana-firma-acuerdos" TargetMode="External"/><Relationship Id="rId1662" Type="http://schemas.openxmlformats.org/officeDocument/2006/relationships/hyperlink" Target="https://pbs.twimg.com/media/DspgB88VAAAt_YT.jpg" TargetMode="External"/><Relationship Id="rId2201" Type="http://schemas.openxmlformats.org/officeDocument/2006/relationships/hyperlink" Target="https://okdiario.com/espana/2018/11/21/sanchez-mando-coche-oficial-vacio-valladolid-hacer-8-kms-del-aeropuerto-ciudad-3377374" TargetMode="External"/><Relationship Id="rId2506" Type="http://schemas.openxmlformats.org/officeDocument/2006/relationships/hyperlink" Target="https://www.libertaddigital.com/espana/2018-11-22/pedro-sanchez-viaja-a-cuba-para-rendir-pleitesia-al-regimen-castrista-1276628700/" TargetMode="External"/><Relationship Id="rId1010" Type="http://schemas.openxmlformats.org/officeDocument/2006/relationships/hyperlink" Target="https://pbs.twimg.com/media/DsrE4AoWwAE3Zkw.jpg" TargetMode="External"/><Relationship Id="rId1108" Type="http://schemas.openxmlformats.org/officeDocument/2006/relationships/hyperlink" Target="http://www.gallegorey.wordpress.com/" TargetMode="External"/><Relationship Id="rId1315" Type="http://schemas.openxmlformats.org/officeDocument/2006/relationships/hyperlink" Target="http://cnnespanol.cnn.com/" TargetMode="External"/><Relationship Id="rId1967" Type="http://schemas.openxmlformats.org/officeDocument/2006/relationships/hyperlink" Target="http://bitly.com/2zoJLVN" TargetMode="External"/><Relationship Id="rId2713" Type="http://schemas.openxmlformats.org/officeDocument/2006/relationships/hyperlink" Target="https://www.14ymedio.com/opinion/Cuba-viaje-arriesgado-Pedro-Sanchez_0_2550344946.html" TargetMode="External"/><Relationship Id="rId2920" Type="http://schemas.openxmlformats.org/officeDocument/2006/relationships/hyperlink" Target="https://www.elmundo.es/economia/2018/11/18/5bf05549e2704efb6b8b459f.html" TargetMode="External"/><Relationship Id="rId1522" Type="http://schemas.openxmlformats.org/officeDocument/2006/relationships/hyperlink" Target="http://www.damasdeblanco.org/" TargetMode="External"/><Relationship Id="rId21" Type="http://schemas.openxmlformats.org/officeDocument/2006/relationships/hyperlink" Target="https://pbs.twimg.com/media/DssjtHIVsAExuaM.jpg" TargetMode="External"/><Relationship Id="rId2089" Type="http://schemas.openxmlformats.org/officeDocument/2006/relationships/hyperlink" Target="https://www.elindependiente.com/politica/2018/11/22/sanchez-gibraltar-no-cambios-vetaremos-brexit/?utm_source=share_buttons&amp;utm_medium=twitter&amp;utm_campaign=social_share" TargetMode="External"/><Relationship Id="rId3487" Type="http://schemas.openxmlformats.org/officeDocument/2006/relationships/hyperlink" Target="https://pbs.twimg.com/media/DsmmbE5X4AASBva.jpg" TargetMode="External"/><Relationship Id="rId2296" Type="http://schemas.openxmlformats.org/officeDocument/2006/relationships/hyperlink" Target="http://bit.ly/2QgbbqC" TargetMode="External"/><Relationship Id="rId3347" Type="http://schemas.openxmlformats.org/officeDocument/2006/relationships/hyperlink" Target="https://pbs.twimg.com/media/Dsm5AKbW0AAcwo9.jpg" TargetMode="External"/><Relationship Id="rId3554" Type="http://schemas.openxmlformats.org/officeDocument/2006/relationships/hyperlink" Target="https://www.libertaddigital.com/espana/2018-11-21/pedro-sanchez-pide-a-casado-y-rufian-que-pidan-discupas-por-el-escupitajo-de-erc-a-borell-1276628638/" TargetMode="External"/><Relationship Id="rId268" Type="http://schemas.openxmlformats.org/officeDocument/2006/relationships/hyperlink" Target="http://dondiario.com/" TargetMode="External"/><Relationship Id="rId475" Type="http://schemas.openxmlformats.org/officeDocument/2006/relationships/hyperlink" Target="http://asamblea-madrid.ciudadanos-cs.org/" TargetMode="External"/><Relationship Id="rId682" Type="http://schemas.openxmlformats.org/officeDocument/2006/relationships/hyperlink" Target="https://youtu.be/7JBMfig7tBY" TargetMode="External"/><Relationship Id="rId2156" Type="http://schemas.openxmlformats.org/officeDocument/2006/relationships/hyperlink" Target="https://www.ahorainformacion.es/blog/pedro-sanchez-el-portugues-y-la-hispanofobia-recalcitrante/" TargetMode="External"/><Relationship Id="rId2363" Type="http://schemas.openxmlformats.org/officeDocument/2006/relationships/hyperlink" Target="https://www.eldiario.es/politica/Marlaska-Pedro-Sanchez-candidato-Madrid_0_836066553.html" TargetMode="External"/><Relationship Id="rId2570" Type="http://schemas.openxmlformats.org/officeDocument/2006/relationships/hyperlink" Target="https://youtu.be/5WicgQ7iG3E" TargetMode="External"/><Relationship Id="rId3207" Type="http://schemas.openxmlformats.org/officeDocument/2006/relationships/hyperlink" Target="https://elpais.com/politica/2018/11/21/actualidad/1542810485_448113.html?id_externo_rsoc=TW_CC" TargetMode="External"/><Relationship Id="rId3414" Type="http://schemas.openxmlformats.org/officeDocument/2006/relationships/hyperlink" Target="https://www.facebook.com/pages/Tuiteo-Maracaibo/614177861982292?ref=hl" TargetMode="External"/><Relationship Id="rId128" Type="http://schemas.openxmlformats.org/officeDocument/2006/relationships/hyperlink" Target="http://www.blog-pacoestevez.es/" TargetMode="External"/><Relationship Id="rId335" Type="http://schemas.openxmlformats.org/officeDocument/2006/relationships/hyperlink" Target="https://cronicaglobal.elespanol.com/politica/indepes-duros-torpedean-salida-presos-navidad_201682_102.html" TargetMode="External"/><Relationship Id="rId542" Type="http://schemas.openxmlformats.org/officeDocument/2006/relationships/hyperlink" Target="https://rafador8678.wordpress.com/" TargetMode="External"/><Relationship Id="rId1172" Type="http://schemas.openxmlformats.org/officeDocument/2006/relationships/hyperlink" Target="http://es.linkedin.com/pub/antonio-saez-tienza-lopez-barrantes/36/1a7/45" TargetMode="External"/><Relationship Id="rId2016" Type="http://schemas.openxmlformats.org/officeDocument/2006/relationships/hyperlink" Target="http://www.nomerompaslaspelotas.com/" TargetMode="External"/><Relationship Id="rId2223" Type="http://schemas.openxmlformats.org/officeDocument/2006/relationships/hyperlink" Target="http://jaimeperezmateo.wordpress.com/" TargetMode="External"/><Relationship Id="rId2430" Type="http://schemas.openxmlformats.org/officeDocument/2006/relationships/hyperlink" Target="https://pbs.twimg.com/media/Dsny-QFVsAAUBdH.jpg" TargetMode="External"/><Relationship Id="rId402" Type="http://schemas.openxmlformats.org/officeDocument/2006/relationships/hyperlink" Target="https://www.facebook.com/david.cabrero" TargetMode="External"/><Relationship Id="rId1032" Type="http://schemas.openxmlformats.org/officeDocument/2006/relationships/hyperlink" Target="https://www.elespanol.com/opinion/tribunas/20181123/carta-abierta-cubano-pedro-sanchez/355334465_12.html" TargetMode="External"/><Relationship Id="rId1989" Type="http://schemas.openxmlformats.org/officeDocument/2006/relationships/hyperlink" Target="https://www.esdiario.com/385299377/Escandalo-en-el-PSOE-su-presidente-del-Comite-de-Etica-al-banquillo-y-no-dimite.html" TargetMode="External"/><Relationship Id="rId1849" Type="http://schemas.openxmlformats.org/officeDocument/2006/relationships/hyperlink" Target="https://www.noticiasaldiayalahora.co/" TargetMode="External"/><Relationship Id="rId3064" Type="http://schemas.openxmlformats.org/officeDocument/2006/relationships/hyperlink" Target="https://twitter.com/HispaniaFortius/status/1065561620586393600" TargetMode="External"/><Relationship Id="rId192" Type="http://schemas.openxmlformats.org/officeDocument/2006/relationships/hyperlink" Target="https://pbs.twimg.com/media/DssTTnhW0AAwjps.jpg" TargetMode="External"/><Relationship Id="rId1709" Type="http://schemas.openxmlformats.org/officeDocument/2006/relationships/hyperlink" Target="https://ift.tt/2zpjFlq" TargetMode="External"/><Relationship Id="rId1916" Type="http://schemas.openxmlformats.org/officeDocument/2006/relationships/hyperlink" Target="https://goo.gl/YmsCqd" TargetMode="External"/><Relationship Id="rId3271" Type="http://schemas.openxmlformats.org/officeDocument/2006/relationships/hyperlink" Target="https://andaluciainformacion.es/jaen/789693/pedro-sanchez-trae-a-jaen-la-primera-estrella-michelin/" TargetMode="External"/><Relationship Id="rId2080" Type="http://schemas.openxmlformats.org/officeDocument/2006/relationships/hyperlink" Target="https://itunes.apple.com/es/book/gettysburg-1863/id665369445?mt=11" TargetMode="External"/><Relationship Id="rId3131" Type="http://schemas.openxmlformats.org/officeDocument/2006/relationships/hyperlink" Target="http://www.periodico26.cu/index.php/es/de-cuba-es/item/13066-presidente-de-gobierno-espanol-viaja-en-visita-oficial-a-cuba" TargetMode="External"/><Relationship Id="rId2897" Type="http://schemas.openxmlformats.org/officeDocument/2006/relationships/hyperlink" Target="http://dlvr.it/QrsQg2" TargetMode="External"/><Relationship Id="rId869" Type="http://schemas.openxmlformats.org/officeDocument/2006/relationships/hyperlink" Target="https://www.instagram.com/pabloharour/" TargetMode="External"/><Relationship Id="rId1499" Type="http://schemas.openxmlformats.org/officeDocument/2006/relationships/hyperlink" Target="https://es.rt.com/6cui" TargetMode="External"/><Relationship Id="rId729" Type="http://schemas.openxmlformats.org/officeDocument/2006/relationships/hyperlink" Target="https://www.eldiario.es/_31fac1e7" TargetMode="External"/><Relationship Id="rId1359" Type="http://schemas.openxmlformats.org/officeDocument/2006/relationships/hyperlink" Target="http://www.radioreloj.cu/es/destacadas/encabezan-diaz-canel-pedro-sanchez-firma-memorandos-fotos/" TargetMode="External"/><Relationship Id="rId2757" Type="http://schemas.openxmlformats.org/officeDocument/2006/relationships/hyperlink" Target="https://pbs.twimg.com/media/DsnvvTuXcAAlwBh.jpg" TargetMode="External"/><Relationship Id="rId2964" Type="http://schemas.openxmlformats.org/officeDocument/2006/relationships/hyperlink" Target="http://trabajadores.cu/" TargetMode="External"/><Relationship Id="rId936" Type="http://schemas.openxmlformats.org/officeDocument/2006/relationships/hyperlink" Target="https://okdiario.com/espana/2018/11/21/sanchez-mando-coche-oficial-vacio-valladolid-hacer-8-kms-del-aeropuerto-ciudad-3377374/amp" TargetMode="External"/><Relationship Id="rId1219" Type="http://schemas.openxmlformats.org/officeDocument/2006/relationships/hyperlink" Target="https://www.publico.es/espana/atentado-pedro-sanchez-tuit-cancion-terrorismo-asesinar-presidente-no.html" TargetMode="External"/><Relationship Id="rId1566" Type="http://schemas.openxmlformats.org/officeDocument/2006/relationships/hyperlink" Target="http://bit.ly/2S3cbeW" TargetMode="External"/><Relationship Id="rId1773" Type="http://schemas.openxmlformats.org/officeDocument/2006/relationships/hyperlink" Target="https://www.elconfidencial.com/espana/2018-11-22/telefonica-iberia-air-europa-ceo-empresas-pedro-sanchez-cuba_1663690/?utm_source=twitter&amp;utm_medium=social&amp;utm_campaign=NacionalDiarioAutomatico" TargetMode="External"/><Relationship Id="rId1980" Type="http://schemas.openxmlformats.org/officeDocument/2006/relationships/hyperlink" Target="http://www.noticierouniversal.com/" TargetMode="External"/><Relationship Id="rId2617"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824" Type="http://schemas.openxmlformats.org/officeDocument/2006/relationships/hyperlink" Target="http://www.huffingtonpost.es/news/politica/" TargetMode="External"/><Relationship Id="rId65" Type="http://schemas.openxmlformats.org/officeDocument/2006/relationships/hyperlink" Target="https://www.vtactual.com/es/sanchez-gibraltar/" TargetMode="External"/><Relationship Id="rId1426" Type="http://schemas.openxmlformats.org/officeDocument/2006/relationships/hyperlink" Target="https://mundo.sputniknews.com/" TargetMode="External"/><Relationship Id="rId1633" Type="http://schemas.openxmlformats.org/officeDocument/2006/relationships/hyperlink" Target="https://es.rt.com/6cus" TargetMode="External"/><Relationship Id="rId1840" Type="http://schemas.openxmlformats.org/officeDocument/2006/relationships/hyperlink" Target="https://pbs.twimg.com/media/DspLuY0UUAIEKWY.jpg" TargetMode="External"/><Relationship Id="rId1700" Type="http://schemas.openxmlformats.org/officeDocument/2006/relationships/hyperlink" Target="http://bit.ly/EP_Venezuela" TargetMode="External"/><Relationship Id="rId3458" Type="http://schemas.openxmlformats.org/officeDocument/2006/relationships/hyperlink" Target="http://bit.ly/2FCXhdS" TargetMode="External"/><Relationship Id="rId379" Type="http://schemas.openxmlformats.org/officeDocument/2006/relationships/hyperlink" Target="http://pic.twitter.com/jTlgMPgXHQ" TargetMode="External"/><Relationship Id="rId586" Type="http://schemas.openxmlformats.org/officeDocument/2006/relationships/hyperlink" Target="http://bit.ly/2FA2raF" TargetMode="External"/><Relationship Id="rId793" Type="http://schemas.openxmlformats.org/officeDocument/2006/relationships/hyperlink" Target="https://youtu.be/sVG08pYrifU" TargetMode="External"/><Relationship Id="rId2267" Type="http://schemas.openxmlformats.org/officeDocument/2006/relationships/hyperlink" Target="https://radiocorazonvalencianoticias.blogspot.com/2018/11/la-indignidad-de-pedro-sanchez-con.html?spref=tw" TargetMode="External"/><Relationship Id="rId2474" Type="http://schemas.openxmlformats.org/officeDocument/2006/relationships/hyperlink" Target="http://webtv.7tvregiondemurcia.es/" TargetMode="External"/><Relationship Id="rId2681" Type="http://schemas.openxmlformats.org/officeDocument/2006/relationships/hyperlink" Target="https://m.eldiario.es/_31d55cf9" TargetMode="External"/><Relationship Id="rId3318" Type="http://schemas.openxmlformats.org/officeDocument/2006/relationships/hyperlink" Target="http://www.lacasadelosmayores.com/" TargetMode="External"/><Relationship Id="rId3525" Type="http://schemas.openxmlformats.org/officeDocument/2006/relationships/hyperlink" Target="http://redeptsp.com.br/paulomariante/" TargetMode="External"/><Relationship Id="rId239" Type="http://schemas.openxmlformats.org/officeDocument/2006/relationships/hyperlink" Target="http://bit.ly/2R8KDF1" TargetMode="External"/><Relationship Id="rId446" Type="http://schemas.openxmlformats.org/officeDocument/2006/relationships/hyperlink" Target="https://okdiario.com/opinion/2018/11/22/indignidad-pedro-sanchez-borrell-3380779" TargetMode="External"/><Relationship Id="rId653" Type="http://schemas.openxmlformats.org/officeDocument/2006/relationships/hyperlink" Target="https://okdiario.com/internacional/2018/11/23/cuba-firma-espana-primera-vez-memorando-consultas-politicas-hablar-derechos-humanos-3382582" TargetMode="External"/><Relationship Id="rId1076" Type="http://schemas.openxmlformats.org/officeDocument/2006/relationships/hyperlink" Target="https://es.rt.com/6cus" TargetMode="External"/><Relationship Id="rId1283" Type="http://schemas.openxmlformats.org/officeDocument/2006/relationships/hyperlink" Target="https://www.elconfidencial.com/espana/2018-11-23/pedro-sanchez-adelanto-electoral-superdomingo-barones_1663322/?utm_source=twitter&amp;utm_medium=social&amp;utm_campaign=BotoneraWeb" TargetMode="External"/><Relationship Id="rId1490" Type="http://schemas.openxmlformats.org/officeDocument/2006/relationships/hyperlink" Target="https://www.diariosur.es/nacional/viaje-pedro-sanchez-cuba-20181123211321-ntrc.html" TargetMode="External"/><Relationship Id="rId2127" Type="http://schemas.openxmlformats.org/officeDocument/2006/relationships/hyperlink" Target="https://okdiario.com/espana/2018/11/21/ejercito-del-aire-tres-aviones-pedro-sanchez-3373984?utm_campaign=newsletter-21-noviembre&amp;utm_medium=email&amp;utm_source=acumbamail" TargetMode="External"/><Relationship Id="rId2334" Type="http://schemas.openxmlformats.org/officeDocument/2006/relationships/hyperlink" Target="https://www.marbella24horas.es/local/el-mitin-de-pedro-sanchez-y-susana-diaz-en-marbella-cambia-de-dia-24029" TargetMode="External"/><Relationship Id="rId306" Type="http://schemas.openxmlformats.org/officeDocument/2006/relationships/hyperlink" Target="https://m.eldiario.es/32001629_838866473/" TargetMode="External"/><Relationship Id="rId860" Type="http://schemas.openxmlformats.org/officeDocument/2006/relationships/hyperlink" Target="http://newsglobaldaily24hours.blogspot.com/" TargetMode="External"/><Relationship Id="rId1143" Type="http://schemas.openxmlformats.org/officeDocument/2006/relationships/hyperlink" Target="http://bit.ly/2TC7qug" TargetMode="External"/><Relationship Id="rId2541" Type="http://schemas.openxmlformats.org/officeDocument/2006/relationships/hyperlink" Target="https://www.abc.es/opinion/abci-viaje-cuba-201811200137_noticia.html" TargetMode="External"/><Relationship Id="rId513" Type="http://schemas.openxmlformats.org/officeDocument/2006/relationships/hyperlink" Target="https://ift.tt/2r0NwMt" TargetMode="External"/><Relationship Id="rId720" Type="http://schemas.openxmlformats.org/officeDocument/2006/relationships/hyperlink" Target="https://www.abc.es/espana/madrid/abci-promesas-para-madrid-pedro-sanchez-hecho-garrido-201811230157_noticia.html" TargetMode="External"/><Relationship Id="rId1350" Type="http://schemas.openxmlformats.org/officeDocument/2006/relationships/hyperlink" Target="http://www.cubadebate.cu/prensa-cuba/" TargetMode="External"/><Relationship Id="rId2401" Type="http://schemas.openxmlformats.org/officeDocument/2006/relationships/hyperlink" Target="http://www.periodistadigital.com/periodismo/prensa/2018/11/22/alfonso-ussia-borra-sonrisa-egolatra-sanchez-manda-volando-psiquiatrico.shtml" TargetMode="External"/><Relationship Id="rId1003" Type="http://schemas.openxmlformats.org/officeDocument/2006/relationships/hyperlink" Target="https://ift.tt/2TxOblP" TargetMode="External"/><Relationship Id="rId1210" Type="http://schemas.openxmlformats.org/officeDocument/2006/relationships/hyperlink" Target="https://www.ondacero.es/directo/" TargetMode="External"/><Relationship Id="rId3175" Type="http://schemas.openxmlformats.org/officeDocument/2006/relationships/hyperlink" Target="https://www.madridiario.es/462430/variante-a1-2023-bus-vao-a2" TargetMode="External"/><Relationship Id="rId3382" Type="http://schemas.openxmlformats.org/officeDocument/2006/relationships/hyperlink" Target="http://www.cubaeconomica.com/editorial/10356/cuba-espera-a-pedro-sanchez" TargetMode="External"/><Relationship Id="rId2191" Type="http://schemas.openxmlformats.org/officeDocument/2006/relationships/hyperlink" Target="http://www.citizengo.org/hazteoir/166670-no-expolie-por-segunda-vez-archivo-salamanca?tc=tw&amp;tcid=52309547" TargetMode="External"/><Relationship Id="rId3035" Type="http://schemas.openxmlformats.org/officeDocument/2006/relationships/hyperlink" Target="https://www.eldiario.es/_31f6512a" TargetMode="External"/><Relationship Id="rId3242" Type="http://schemas.openxmlformats.org/officeDocument/2006/relationships/hyperlink" Target="http://trabajadores.cu/" TargetMode="External"/><Relationship Id="rId163" Type="http://schemas.openxmlformats.org/officeDocument/2006/relationships/hyperlink" Target="https://www.elmundo.es/internacional/2018/11/22/5bf6b01b468aeb352a8b463a.html" TargetMode="External"/><Relationship Id="rId370" Type="http://schemas.openxmlformats.org/officeDocument/2006/relationships/hyperlink" Target="https://www.lasvocesdelpueblo.com/torra-ire-por-el-mundo-a-denunciar-a-espana-los-proximos-meses/?fbclid=IwAR3gu3MSkv4XxDb7-6S9IXMILj6w4Jy6KugwSRSfoSf2BiVYn_5Q7rl6xL4" TargetMode="External"/><Relationship Id="rId2051" Type="http://schemas.openxmlformats.org/officeDocument/2006/relationships/hyperlink" Target="https://www.publico.es/politica/gobierno-acusa-may-y-ue-declaracion-politica-gibraltar.html?utm_source=twitter&amp;utm_medium=social&amp;utm_campaign=publico" TargetMode="External"/><Relationship Id="rId3102" Type="http://schemas.openxmlformats.org/officeDocument/2006/relationships/hyperlink" Target="http://elsaltodiario.com/" TargetMode="External"/><Relationship Id="rId230" Type="http://schemas.openxmlformats.org/officeDocument/2006/relationships/hyperlink" Target="http://www.facebook.com/anxelin.yoloxokotl" TargetMode="External"/><Relationship Id="rId2868" Type="http://schemas.openxmlformats.org/officeDocument/2006/relationships/hyperlink" Target="http://dlvr.it/QrsSN2" TargetMode="External"/><Relationship Id="rId1677" Type="http://schemas.openxmlformats.org/officeDocument/2006/relationships/hyperlink" Target="http://tinyurl.com/yb99p62t" TargetMode="External"/><Relationship Id="rId1884" Type="http://schemas.openxmlformats.org/officeDocument/2006/relationships/hyperlink" Target="https://www.20minutos.es/noticia/3499204/0/pedro-sanchez-espana-gibraltar-si-no-hay-cambios-vetaremos-brexit/" TargetMode="External"/><Relationship Id="rId2728" Type="http://schemas.openxmlformats.org/officeDocument/2006/relationships/hyperlink" Target="http://14ymedio.com/" TargetMode="External"/><Relationship Id="rId2935" Type="http://schemas.openxmlformats.org/officeDocument/2006/relationships/hyperlink" Target="https://www.rafamorata.es/" TargetMode="External"/><Relationship Id="rId907" Type="http://schemas.openxmlformats.org/officeDocument/2006/relationships/hyperlink" Target="https://ift.tt/2OY4OmY" TargetMode="External"/><Relationship Id="rId1537" Type="http://schemas.openxmlformats.org/officeDocument/2006/relationships/hyperlink" Target="http://www.notinet.icrt.cu/index.php?option=com_content&amp;view=article&amp;id=16065:recibe-diaz-canel-en-la-habana-al-presidente-del-gobierno-espanol-&amp;catid=1:noticias-de-cuba&amp;Itemid=50" TargetMode="External"/><Relationship Id="rId1744" Type="http://schemas.openxmlformats.org/officeDocument/2006/relationships/hyperlink" Target="https://actualidad.rt.com/actualidad/296596-pedro-sanchez-reune-miguel-diaz" TargetMode="External"/><Relationship Id="rId1951" Type="http://schemas.openxmlformats.org/officeDocument/2006/relationships/hyperlink" Target="https://okdiario.com/espana/2018/11/22/pedro-sanchez-llega-habana-reunirse-dictador-diaz-canel-3382248?utm_term=Autofeed&amp;utm_campaign=ok&amp;utm_medium=Social&amp;utm_source=Twitter" TargetMode="External"/><Relationship Id="rId36" Type="http://schemas.openxmlformats.org/officeDocument/2006/relationships/hyperlink" Target="https://www.ciudadanos-cs.org/" TargetMode="External"/><Relationship Id="rId1604" Type="http://schemas.openxmlformats.org/officeDocument/2006/relationships/hyperlink" Target="http://www.granma.cu/mundo/2018-11-21/biografia-oficial-del-excmo-sr-pedro-sanchez-perez-castejon-presidente-del-gobierno-del-reino-de-espana-21-11-2018-20-11-30" TargetMode="External"/><Relationship Id="rId1811" Type="http://schemas.openxmlformats.org/officeDocument/2006/relationships/hyperlink" Target="http://www.jorgeprats.com/" TargetMode="External"/><Relationship Id="rId3569" Type="http://schemas.openxmlformats.org/officeDocument/2006/relationships/hyperlink" Target="https://www.que.es/ultimas-noticias/el-lapsus-de-pedro-sanchez-las-elecciones-las-hare-cuando-crea-que-son-beneficiosas-para-los-intereses-generales-del-part-pais.html" TargetMode="External"/><Relationship Id="rId697" Type="http://schemas.openxmlformats.org/officeDocument/2006/relationships/hyperlink" Target="http://www.esdiario.com/" TargetMode="External"/><Relationship Id="rId2378" Type="http://schemas.openxmlformats.org/officeDocument/2006/relationships/hyperlink" Target="https://www.elmundo.es/internacional/2018/11/22/5bf6b01b468aeb352a8b463a.html" TargetMode="External"/><Relationship Id="rId3429" Type="http://schemas.openxmlformats.org/officeDocument/2006/relationships/hyperlink" Target="https://pbs.twimg.com/media/Dsmu-XJUwAAGhJc.jpg" TargetMode="External"/><Relationship Id="rId1187" Type="http://schemas.openxmlformats.org/officeDocument/2006/relationships/hyperlink" Target="http://facebook.com/mvallejotv" TargetMode="External"/><Relationship Id="rId2585" Type="http://schemas.openxmlformats.org/officeDocument/2006/relationships/hyperlink" Target="http://www.citizengo.org/hazteoir/166670-no-expolie-por-segunda-vez-archivo-salamanca?tc=tw&amp;tcid=52306865" TargetMode="External"/><Relationship Id="rId2792" Type="http://schemas.openxmlformats.org/officeDocument/2006/relationships/hyperlink" Target="https://elpais.com/elpais/2018/11/19/opinion/1542639769_020575.html" TargetMode="External"/><Relationship Id="rId557" Type="http://schemas.openxmlformats.org/officeDocument/2006/relationships/hyperlink" Target="https://www.lasexta.com/noticias/internacional/exteriores-aclara-que-hay-acuerdo-reino-unido-brexit-anuncio-ministro-gibraltar_201811235bf7d08c0cf25d64f626be3e.html" TargetMode="External"/><Relationship Id="rId764" Type="http://schemas.openxmlformats.org/officeDocument/2006/relationships/hyperlink" Target="https://youtu.be/cqZc7ZQURMs" TargetMode="External"/><Relationship Id="rId971" Type="http://schemas.openxmlformats.org/officeDocument/2006/relationships/hyperlink" Target="https://www.abc.es/espana/abci-jose-daniel-ferrer-posible-liberen-presos-para-decir-visita-pedro-sanchez-cuba-sido-exito-201811230406_noticia.html" TargetMode="External"/><Relationship Id="rId1394" Type="http://schemas.openxmlformats.org/officeDocument/2006/relationships/hyperlink" Target="http://www.yanderzamora.com/" TargetMode="External"/><Relationship Id="rId2238" Type="http://schemas.openxmlformats.org/officeDocument/2006/relationships/hyperlink" Target="https://about.me/paulhewson" TargetMode="External"/><Relationship Id="rId2445" Type="http://schemas.openxmlformats.org/officeDocument/2006/relationships/hyperlink" Target="http://marbella24horas.es/" TargetMode="External"/><Relationship Id="rId2652" Type="http://schemas.openxmlformats.org/officeDocument/2006/relationships/hyperlink" Target="http://www.elespanol.com/jose_gallego/" TargetMode="External"/><Relationship Id="rId417" Type="http://schemas.openxmlformats.org/officeDocument/2006/relationships/hyperlink" Target="https://okdiario.com/espana/2018/11/23/pedro-sanchez-reune-cupula-del-regimen-cubano-palacio-revolucion-3382388" TargetMode="External"/><Relationship Id="rId624" Type="http://schemas.openxmlformats.org/officeDocument/2006/relationships/hyperlink" Target="https://goo.gl/3crfr4" TargetMode="External"/><Relationship Id="rId831" Type="http://schemas.openxmlformats.org/officeDocument/2006/relationships/hyperlink" Target="https://twitter.com/hermanntertsch/status/1065693079720640512" TargetMode="External"/><Relationship Id="rId1047" Type="http://schemas.openxmlformats.org/officeDocument/2006/relationships/hyperlink" Target="https://ift.tt/2OY4OmY" TargetMode="External"/><Relationship Id="rId1254" Type="http://schemas.openxmlformats.org/officeDocument/2006/relationships/hyperlink" Target="http://www.esradio.fm/es-la-manana-de-federico/" TargetMode="External"/><Relationship Id="rId1461" Type="http://schemas.openxmlformats.org/officeDocument/2006/relationships/hyperlink" Target="http://www.cibercuba.com/" TargetMode="External"/><Relationship Id="rId2305" Type="http://schemas.openxmlformats.org/officeDocument/2006/relationships/hyperlink" Target="https://www.abc.es/historia/abci-pedro-sanchez-y-silla-maceo-heroe-cubano-cuyo-asesinato-puso-mundo-contra-espana-201811210237_noticia.html" TargetMode="External"/><Relationship Id="rId2512" Type="http://schemas.openxmlformats.org/officeDocument/2006/relationships/hyperlink" Target="https://pbs.twimg.com/media/DsoI_yNWwAYo9qG.jpg" TargetMode="External"/><Relationship Id="rId1114" Type="http://schemas.openxmlformats.org/officeDocument/2006/relationships/hyperlink" Target="https://www.amazon.es/ascensores-dormidos-Habana-Carlos-Dom%C3%ADnguez-ebook/dp/B07J3S28PG/ref=sr_1_2?s=digital-text&amp;ie=UTF8&amp;qid=1542958518&amp;sr=1-2" TargetMode="External"/><Relationship Id="rId1321" Type="http://schemas.openxmlformats.org/officeDocument/2006/relationships/hyperlink" Target="https://www.youtube.com/watch?v=Kg_kxZz8vvQ" TargetMode="External"/><Relationship Id="rId3079" Type="http://schemas.openxmlformats.org/officeDocument/2006/relationships/hyperlink" Target="https://www.linkedin.com/in/daniel-plaza-acosta-114a0513a/" TargetMode="External"/><Relationship Id="rId3286" Type="http://schemas.openxmlformats.org/officeDocument/2006/relationships/hyperlink" Target="https://www.cope.es/a/582104" TargetMode="External"/><Relationship Id="rId3493" Type="http://schemas.openxmlformats.org/officeDocument/2006/relationships/hyperlink" Target="http://www.hechosdehoy.com/" TargetMode="External"/><Relationship Id="rId2095" Type="http://schemas.openxmlformats.org/officeDocument/2006/relationships/hyperlink" Target="http://www.rtve.es/alacarta/audios/24-horas/" TargetMode="External"/><Relationship Id="rId3146" Type="http://schemas.openxmlformats.org/officeDocument/2006/relationships/hyperlink" Target="https://pbs.twimg.com/media/DsnOT2ZWkAEW3ap.jpg" TargetMode="External"/><Relationship Id="rId3353" Type="http://schemas.openxmlformats.org/officeDocument/2006/relationships/hyperlink" Target="https://www.libertaddigital.com/espana/2018-11-21/pedro-sanchez-pide-a-casado-y-rufian-que-pidan-discupas-por-el-escupitajo-de-erc-a-borell-1276628638/" TargetMode="External"/><Relationship Id="rId274" Type="http://schemas.openxmlformats.org/officeDocument/2006/relationships/hyperlink" Target="https://ift.tt/2DRs9pj" TargetMode="External"/><Relationship Id="rId481" Type="http://schemas.openxmlformats.org/officeDocument/2006/relationships/hyperlink" Target="http://cortes-valencianas.ciudadanos-cs.org/" TargetMode="External"/><Relationship Id="rId2162" Type="http://schemas.openxmlformats.org/officeDocument/2006/relationships/hyperlink" Target="https://www.elmundo.es/espana/2018/11/21/5bf5ab23e2704ea02f8b4581.html" TargetMode="External"/><Relationship Id="rId3006" Type="http://schemas.openxmlformats.org/officeDocument/2006/relationships/hyperlink" Target="https://pbs.twimg.com/media/DsnbogvXQAAm2sU.jpg" TargetMode="External"/><Relationship Id="rId3560" Type="http://schemas.openxmlformats.org/officeDocument/2006/relationships/hyperlink" Target="http://u-serexperience.com/" TargetMode="External"/><Relationship Id="rId134" Type="http://schemas.openxmlformats.org/officeDocument/2006/relationships/hyperlink" Target="https://goo.gl/fb/DA75EX" TargetMode="External"/><Relationship Id="rId3213" Type="http://schemas.openxmlformats.org/officeDocument/2006/relationships/hyperlink" Target="http://abcblogs.abc.es/angel-exposito/public/post/la-chuleria-de-rufian-es-la-hipoteca-de-pedro-sanchez-17471.asp/" TargetMode="External"/><Relationship Id="rId3420" Type="http://schemas.openxmlformats.org/officeDocument/2006/relationships/hyperlink" Target="http://www.cope.es/menu/programas/mediodia-cope/inicio" TargetMode="External"/><Relationship Id="rId341" Type="http://schemas.openxmlformats.org/officeDocument/2006/relationships/hyperlink" Target="https://pbs.twimg.com/media/DssJPvMXgAAdkDz.jpg" TargetMode="External"/><Relationship Id="rId2022" Type="http://schemas.openxmlformats.org/officeDocument/2006/relationships/hyperlink" Target="http://dlvr.it/QrthGd" TargetMode="External"/><Relationship Id="rId2979" Type="http://schemas.openxmlformats.org/officeDocument/2006/relationships/hyperlink" Target="https://pbs.twimg.com/media/DsneFieXQAId0n1.jpg" TargetMode="External"/><Relationship Id="rId201" Type="http://schemas.openxmlformats.org/officeDocument/2006/relationships/hyperlink" Target="https://www.elmundo.es/espana/2018/11/20/5bf329dc468aeb4f5a8b459e.html" TargetMode="External"/><Relationship Id="rId1788" Type="http://schemas.openxmlformats.org/officeDocument/2006/relationships/hyperlink" Target="http://lapatilla.com/" TargetMode="External"/><Relationship Id="rId1995" Type="http://schemas.openxmlformats.org/officeDocument/2006/relationships/hyperlink" Target="https://www.elcorreodemadrid.com/opinion/328387550/Pedro-Sanchez-tras-su-fijacion-con-Franco-ha-tenido-que-agachar-la-cabeza-ante-los-restos-de-dos-dictadores-Mohamed-VI-y-Mohamed-V-.html" TargetMode="External"/><Relationship Id="rId2839" Type="http://schemas.openxmlformats.org/officeDocument/2006/relationships/hyperlink" Target="http://www.elmundo.es/internacional/2018/11/22/5bf6b01b468aeb352a8b463a.html" TargetMode="External"/><Relationship Id="rId1648" Type="http://schemas.openxmlformats.org/officeDocument/2006/relationships/hyperlink" Target="https://pbs.twimg.com/media/Dsph_HhUcAAu6Ye.jpg" TargetMode="External"/><Relationship Id="rId1508" Type="http://schemas.openxmlformats.org/officeDocument/2006/relationships/hyperlink" Target="https://www.estoescuba.eu/llego-pedro-sanchez-a-cuba/" TargetMode="External"/><Relationship Id="rId1855" Type="http://schemas.openxmlformats.org/officeDocument/2006/relationships/hyperlink" Target="http://www.omct.org/monitoring-protection-mechanisms/urgent-interventions/spain/2018/11/d25127/" TargetMode="External"/><Relationship Id="rId2906" Type="http://schemas.openxmlformats.org/officeDocument/2006/relationships/hyperlink" Target="http://www.elmundo.es/internacional/2018/11/22/5bf6b01b468aeb352a8b463a.html" TargetMode="External"/><Relationship Id="rId3070" Type="http://schemas.openxmlformats.org/officeDocument/2006/relationships/hyperlink" Target="http://pic.twitter.com/o9p1Yu0OZh" TargetMode="External"/><Relationship Id="rId1715" Type="http://schemas.openxmlformats.org/officeDocument/2006/relationships/hyperlink" Target="https://www.elperiodico.com/es/internacional/20181123/pedro-sanchez-cuba-honores-jose-marti-la-habana-7162993" TargetMode="External"/><Relationship Id="rId1922" Type="http://schemas.openxmlformats.org/officeDocument/2006/relationships/hyperlink" Target="http://pic.twitter.com/DqgfFmOrlN" TargetMode="External"/><Relationship Id="rId2489" Type="http://schemas.openxmlformats.org/officeDocument/2006/relationships/hyperlink" Target="https://www.libertaddigital.com/espana/2018-11-21/pedro-sanchez-pide-a-casado-y-rufian-que-pidan-discupas-por-el-escupitajo-de-erc-a-borell-1276628638/" TargetMode="External"/><Relationship Id="rId2696" Type="http://schemas.openxmlformats.org/officeDocument/2006/relationships/hyperlink" Target="https://www.elplural.com/politica/espana/pedro-sanchez-gabriel-rufian-borrell-perdon-sociedad-facebook_206764102" TargetMode="External"/><Relationship Id="rId668" Type="http://schemas.openxmlformats.org/officeDocument/2006/relationships/hyperlink" Target="http://youtu.be/w-uOqy_1_KE?a" TargetMode="External"/><Relationship Id="rId875" Type="http://schemas.openxmlformats.org/officeDocument/2006/relationships/hyperlink" Target="https://concentradonoticias.com/pedro-sanchez-se-reune-con-diaz-canel-y-firman-memorandos/" TargetMode="External"/><Relationship Id="rId1298" Type="http://schemas.openxmlformats.org/officeDocument/2006/relationships/hyperlink" Target="http://www.jornada.com.mx/ultimas/2018/11/22/llega-pedro-sanchez-a-cuba-en-historica-visita-9864.html" TargetMode="External"/><Relationship Id="rId2349" Type="http://schemas.openxmlformats.org/officeDocument/2006/relationships/hyperlink" Target="https://www.libertaddigital.com/espana/2018-11-22/pedro-sanchez-viaja-a-cuba-para-rendir-pleitesia-al-regimen-castrista-1276628700/" TargetMode="External"/><Relationship Id="rId2556" Type="http://schemas.openxmlformats.org/officeDocument/2006/relationships/hyperlink" Target="https://elpais.com/" TargetMode="External"/><Relationship Id="rId2763" Type="http://schemas.openxmlformats.org/officeDocument/2006/relationships/hyperlink" Target="http://14ymedio.com/" TargetMode="External"/><Relationship Id="rId2970" Type="http://schemas.openxmlformats.org/officeDocument/2006/relationships/hyperlink" Target="http://pic.twitter.com/6LvmAfiBXm" TargetMode="External"/><Relationship Id="rId528" Type="http://schemas.openxmlformats.org/officeDocument/2006/relationships/hyperlink" Target="https://www.youtube.com/c/ElPeriodistaCamorrista" TargetMode="External"/><Relationship Id="rId735" Type="http://schemas.openxmlformats.org/officeDocument/2006/relationships/hyperlink" Target="https://www.economiadigital.es/politica-y-sociedad/el-ibex-senala-el-fin-del-gobierno-de-pedro-sanchez_590507_102.html" TargetMode="External"/><Relationship Id="rId942" Type="http://schemas.openxmlformats.org/officeDocument/2006/relationships/hyperlink" Target="https://www.boe.es/diario_boe/xml.php?id=BOE-A-2018-15975" TargetMode="External"/><Relationship Id="rId1158" Type="http://schemas.openxmlformats.org/officeDocument/2006/relationships/hyperlink" Target="https://www.elconfidencial.com/espana/2018-11-23/pedro-sanchez-adelanto-electoral-superdomingo-barones_1663322/?utm_campaign=BotoneraWebapp&amp;utm_source=twitter&amp;utm_medium=social" TargetMode="External"/><Relationship Id="rId1365" Type="http://schemas.openxmlformats.org/officeDocument/2006/relationships/hyperlink" Target="http://www.radioreloj.cu/es/destacadas/encabezan-diaz-canel-pedro-sanchez-firma-memorandos-fotos/" TargetMode="External"/><Relationship Id="rId1572" Type="http://schemas.openxmlformats.org/officeDocument/2006/relationships/hyperlink" Target="http://www.slaymultimedios.com/" TargetMode="External"/><Relationship Id="rId2209" Type="http://schemas.openxmlformats.org/officeDocument/2006/relationships/hyperlink" Target="http://pic.twitter.com/BrlX7iyUoS" TargetMode="External"/><Relationship Id="rId2416" Type="http://schemas.openxmlformats.org/officeDocument/2006/relationships/hyperlink" Target="https://youtu.be/OBEluUwFIu0" TargetMode="External"/><Relationship Id="rId2623" Type="http://schemas.openxmlformats.org/officeDocument/2006/relationships/hyperlink" Target="http://www.actuall.com/" TargetMode="External"/><Relationship Id="rId1018" Type="http://schemas.openxmlformats.org/officeDocument/2006/relationships/hyperlink" Target="https://pbs.twimg.com/media/DsrER3dXcAgIWAz.jpg" TargetMode="External"/><Relationship Id="rId1225" Type="http://schemas.openxmlformats.org/officeDocument/2006/relationships/hyperlink" Target="https://m.facebook.com/eurocops" TargetMode="External"/><Relationship Id="rId1432" Type="http://schemas.openxmlformats.org/officeDocument/2006/relationships/hyperlink" Target="http://www.informador.mx/internacional/" TargetMode="External"/><Relationship Id="rId2830" Type="http://schemas.openxmlformats.org/officeDocument/2006/relationships/hyperlink" Target="http://bit.ly/2Ko8Rs5" TargetMode="External"/><Relationship Id="rId71" Type="http://schemas.openxmlformats.org/officeDocument/2006/relationships/hyperlink" Target="http://oficios2011.blogspot.com.ar/" TargetMode="External"/><Relationship Id="rId802" Type="http://schemas.openxmlformats.org/officeDocument/2006/relationships/hyperlink" Target="http://www.ppdegalicia.com/" TargetMode="External"/><Relationship Id="rId3397" Type="http://schemas.openxmlformats.org/officeDocument/2006/relationships/hyperlink" Target="https://www.infolibre.es/noticias/politica/2018/11/22/ortuzar_no_cierra_puerta_los_presupuestos_si_sanchez_crea_condiciones_para_hablar_con_los_catalanes_pnv_estar_89101_1012.html" TargetMode="External"/><Relationship Id="rId178" Type="http://schemas.openxmlformats.org/officeDocument/2006/relationships/hyperlink" Target="http://dlvr.it/Qrx6Pk" TargetMode="External"/><Relationship Id="rId3257" Type="http://schemas.openxmlformats.org/officeDocument/2006/relationships/hyperlink" Target="http://www.bolsamania.com/" TargetMode="External"/><Relationship Id="rId3464" Type="http://schemas.openxmlformats.org/officeDocument/2006/relationships/hyperlink" Target="http://www.pp-asturias.com/" TargetMode="External"/><Relationship Id="rId385" Type="http://schemas.openxmlformats.org/officeDocument/2006/relationships/hyperlink" Target="https://www.libertaddigital.com/internacional/latinoamerica/2018-11-23/los-aires-de-grandeza-de-sanchez-y-gomez-en-su-llegada-a-cuba-1276628742/" TargetMode="External"/><Relationship Id="rId592" Type="http://schemas.openxmlformats.org/officeDocument/2006/relationships/hyperlink" Target="https://www.abc.es/espana/abci-opine-sobre-posibilidades-pedro-sanchez-negociacion-sobre-gibraltar-201811231120_noticia.html" TargetMode="External"/><Relationship Id="rId2066" Type="http://schemas.openxmlformats.org/officeDocument/2006/relationships/hyperlink" Target="https://trib.al/H7whe0Q" TargetMode="External"/><Relationship Id="rId2273" Type="http://schemas.openxmlformats.org/officeDocument/2006/relationships/hyperlink" Target="https://youtu.be/OBEluUwFIu0" TargetMode="External"/><Relationship Id="rId2480" Type="http://schemas.openxmlformats.org/officeDocument/2006/relationships/hyperlink" Target="http://www.citizengo.org/hazteoir/166670-no-expolie-por-segunda-vez-archivo-salamanca?tc=tw&amp;tcid=52307711" TargetMode="External"/><Relationship Id="rId3117" Type="http://schemas.openxmlformats.org/officeDocument/2006/relationships/hyperlink" Target="https://pbs.twimg.com/media/DsnRJvIVYAAQNRj.jpg" TargetMode="External"/><Relationship Id="rId3324" Type="http://schemas.openxmlformats.org/officeDocument/2006/relationships/hyperlink" Target="https://m.facebook.com/groups/247531306734?ref=bookmarks" TargetMode="External"/><Relationship Id="rId3531" Type="http://schemas.openxmlformats.org/officeDocument/2006/relationships/hyperlink" Target="https://buff.ly/2A4V98L" TargetMode="External"/><Relationship Id="rId245" Type="http://schemas.openxmlformats.org/officeDocument/2006/relationships/hyperlink" Target="http://www.sinpentimenti.blogspot.com/" TargetMode="External"/><Relationship Id="rId452" Type="http://schemas.openxmlformats.org/officeDocument/2006/relationships/hyperlink" Target="http://infobae.com/america" TargetMode="External"/><Relationship Id="rId1082" Type="http://schemas.openxmlformats.org/officeDocument/2006/relationships/hyperlink" Target="http://laeducacion.us/" TargetMode="External"/><Relationship Id="rId2133" Type="http://schemas.openxmlformats.org/officeDocument/2006/relationships/hyperlink" Target="http://epmundo.com/2018/theresa-may-le-saca-las-garras-al-gobierno-de-pedro-sanchez/" TargetMode="External"/><Relationship Id="rId2340" Type="http://schemas.openxmlformats.org/officeDocument/2006/relationships/hyperlink" Target="http://bit.ly/2DS7Ecc" TargetMode="External"/><Relationship Id="rId105" Type="http://schemas.openxmlformats.org/officeDocument/2006/relationships/hyperlink" Target="http://pic.twitter.com/AKY5loG5Lm" TargetMode="External"/><Relationship Id="rId312" Type="http://schemas.openxmlformats.org/officeDocument/2006/relationships/hyperlink" Target="https://www.eldiario.es/politica/Gobierno-Sanchez-Consejo-Europeo-Gibraltar_0_838866473.html" TargetMode="External"/><Relationship Id="rId2200" Type="http://schemas.openxmlformats.org/officeDocument/2006/relationships/hyperlink" Target="http://www.abc.es/autor/victor-ruiz-de-almiron-lopez-1435/" TargetMode="External"/><Relationship Id="rId1899" Type="http://schemas.openxmlformats.org/officeDocument/2006/relationships/hyperlink" Target="https://pbs.twimg.com/media/DspFhX1X4AASuTZ.jpg" TargetMode="External"/><Relationship Id="rId1759" Type="http://schemas.openxmlformats.org/officeDocument/2006/relationships/hyperlink" Target="https://pbs.twimg.com/media/DspUIu9V4AA97-i.jpg" TargetMode="External"/><Relationship Id="rId1966" Type="http://schemas.openxmlformats.org/officeDocument/2006/relationships/hyperlink" Target="https://pbs.twimg.com/media/DspAofbVsAAkNjk.jpg" TargetMode="External"/><Relationship Id="rId3181" Type="http://schemas.openxmlformats.org/officeDocument/2006/relationships/hyperlink" Target="https://www.lavanguardia.com/economia/20181122/453091485297/espana-cuba-pedro-sanchez-visita-empresas.html" TargetMode="External"/><Relationship Id="rId1619" Type="http://schemas.openxmlformats.org/officeDocument/2006/relationships/hyperlink" Target="https://twitter.com/hermanntertsch/status/1065693079720640512?s=04" TargetMode="External"/><Relationship Id="rId1826" Type="http://schemas.openxmlformats.org/officeDocument/2006/relationships/hyperlink" Target="https://pbs.twimg.com/media/DspNJ-JUwAA0ECj.jpg" TargetMode="External"/><Relationship Id="rId3041" Type="http://schemas.openxmlformats.org/officeDocument/2006/relationships/hyperlink" Target="https://www.elconfidencial.com/empresas/2018-11-21/pedro-sanchez-bankia-publica_1659242/" TargetMode="External"/><Relationship Id="rId779" Type="http://schemas.openxmlformats.org/officeDocument/2006/relationships/hyperlink" Target="http://www.ideal.es/jaen" TargetMode="External"/><Relationship Id="rId986" Type="http://schemas.openxmlformats.org/officeDocument/2006/relationships/hyperlink" Target="https://pbs.twimg.com/media/DsrGoFdXQAAXB-B.jpg" TargetMode="External"/><Relationship Id="rId2667" Type="http://schemas.openxmlformats.org/officeDocument/2006/relationships/hyperlink" Target="https://instagram.com/pep_caceres" TargetMode="External"/><Relationship Id="rId639" Type="http://schemas.openxmlformats.org/officeDocument/2006/relationships/hyperlink" Target="https://pbs.twimg.com/media/DspBQO7WwAIwxKA.jpg" TargetMode="External"/><Relationship Id="rId1269" Type="http://schemas.openxmlformats.org/officeDocument/2006/relationships/hyperlink" Target="https://www.elespanol.com/opinion/tribunas/20181123/carta-abierta-cubano-pedro-sanchez/355334465_12.html" TargetMode="External"/><Relationship Id="rId1476" Type="http://schemas.openxmlformats.org/officeDocument/2006/relationships/hyperlink" Target="https://mundo.sputniknews.com/" TargetMode="External"/><Relationship Id="rId2874" Type="http://schemas.openxmlformats.org/officeDocument/2006/relationships/hyperlink" Target="https://youtu.be/OBEluUwFIu0" TargetMode="External"/><Relationship Id="rId846" Type="http://schemas.openxmlformats.org/officeDocument/2006/relationships/hyperlink" Target="https://pbs.twimg.com/media/DsChE54XcAA2j5X.jpg" TargetMode="External"/><Relationship Id="rId1129" Type="http://schemas.openxmlformats.org/officeDocument/2006/relationships/hyperlink" Target="http://www.ondacero.es/masdeuno/" TargetMode="External"/><Relationship Id="rId1683" Type="http://schemas.openxmlformats.org/officeDocument/2006/relationships/hyperlink" Target="https://twitter.com/chamberohoy/status/1065752476484284417" TargetMode="External"/><Relationship Id="rId1890" Type="http://schemas.openxmlformats.org/officeDocument/2006/relationships/hyperlink" Target="https://pbs.twimg.com/media/Dsnpq-rWsAEOEqH.jpg" TargetMode="External"/><Relationship Id="rId2527" Type="http://schemas.openxmlformats.org/officeDocument/2006/relationships/hyperlink" Target="https://www.periodistadigital.com/periodismo/prensa/2018/11/22/alfonso-ussia-borra-sonrisa-egolatra-sanchez-manda-volando-psiquiatrico.shtml" TargetMode="External"/><Relationship Id="rId2734" Type="http://schemas.openxmlformats.org/officeDocument/2006/relationships/hyperlink" Target="https://pbs.twimg.com/media/DsnyNq8WkAAlBmn.jpg" TargetMode="External"/><Relationship Id="rId2941" Type="http://schemas.openxmlformats.org/officeDocument/2006/relationships/hyperlink" Target="http://ulceras.net/" TargetMode="External"/><Relationship Id="rId706" Type="http://schemas.openxmlformats.org/officeDocument/2006/relationships/hyperlink" Target="http://www.mambiaccion.com/" TargetMode="External"/><Relationship Id="rId913" Type="http://schemas.openxmlformats.org/officeDocument/2006/relationships/hyperlink" Target="https://pbs.twimg.com/media/DsrN8o4XgAASz7L.jpg" TargetMode="External"/><Relationship Id="rId1336" Type="http://schemas.openxmlformats.org/officeDocument/2006/relationships/hyperlink" Target="https://pbs.twimg.com/media/DsqcS9vXoAAPE7I.jpg" TargetMode="External"/><Relationship Id="rId1543" Type="http://schemas.openxmlformats.org/officeDocument/2006/relationships/hyperlink" Target="https://pbs.twimg.com/media/DspyEAyW0AA7BbU.jpg" TargetMode="External"/><Relationship Id="rId1750" Type="http://schemas.openxmlformats.org/officeDocument/2006/relationships/hyperlink" Target="https://www.libertaddigital.com/espana/2018-11-22/pedro-sanchez-viaja-a-cuba-para-rendir-pleitesia-al-regimen-castrista-1276628700/" TargetMode="External"/><Relationship Id="rId2801" Type="http://schemas.openxmlformats.org/officeDocument/2006/relationships/hyperlink" Target="http://getafediario.es/noticias-madrid/garrido-se-reune-con-sanchez-y-le-reclama-eliminar-el-tope-en-el-fondo-de-competitividad-20181122.html" TargetMode="External"/><Relationship Id="rId42" Type="http://schemas.openxmlformats.org/officeDocument/2006/relationships/hyperlink" Target="http://esthetiquecenter.com/" TargetMode="External"/><Relationship Id="rId1403" Type="http://schemas.openxmlformats.org/officeDocument/2006/relationships/hyperlink" Target="https://cubanosporelmundo.com/2018/11/22/pedro-sanchez-diaz-canel-reunieron-memorandos/?utm_source=dlvr.it&amp;utm_medium=twitter" TargetMode="External"/><Relationship Id="rId1610" Type="http://schemas.openxmlformats.org/officeDocument/2006/relationships/hyperlink" Target="http://bit.ly/EP_Venezuela" TargetMode="External"/><Relationship Id="rId3368" Type="http://schemas.openxmlformats.org/officeDocument/2006/relationships/hyperlink" Target="https://pbs.twimg.com/media/Dsm2pB9XcAAcyfb.jpg" TargetMode="External"/><Relationship Id="rId3575" Type="http://schemas.openxmlformats.org/officeDocument/2006/relationships/hyperlink" Target="https://nuevarevolucion.es/pedro-sanchez-el-paso-atras-de-la-izquierda/" TargetMode="External"/><Relationship Id="rId289" Type="http://schemas.openxmlformats.org/officeDocument/2006/relationships/hyperlink" Target="http://shr.gs/QaPRgZR" TargetMode="External"/><Relationship Id="rId496" Type="http://schemas.openxmlformats.org/officeDocument/2006/relationships/hyperlink" Target="https://pbs.twimg.com/media/Dsr6KJIXcAAD1L2.jpg" TargetMode="External"/><Relationship Id="rId2177" Type="http://schemas.openxmlformats.org/officeDocument/2006/relationships/hyperlink" Target="https://www.elmundo.es/internacional/2018/11/22/5bf6b01b468aeb352a8b463a.html" TargetMode="External"/><Relationship Id="rId2384" Type="http://schemas.openxmlformats.org/officeDocument/2006/relationships/hyperlink" Target="http://cartadelsur.blogspot.com/" TargetMode="External"/><Relationship Id="rId2591" Type="http://schemas.openxmlformats.org/officeDocument/2006/relationships/hyperlink" Target="https://www.elmundo.es/espana/2018/11/21/5bf5ab23e2704ea02f8b4581.html" TargetMode="External"/><Relationship Id="rId3228" Type="http://schemas.openxmlformats.org/officeDocument/2006/relationships/hyperlink" Target="https://www.facebook.com/1455511311374729/posts/2199739426951910/" TargetMode="External"/><Relationship Id="rId3435" Type="http://schemas.openxmlformats.org/officeDocument/2006/relationships/hyperlink" Target="http://www.pressdigital.es/" TargetMode="External"/><Relationship Id="rId149" Type="http://schemas.openxmlformats.org/officeDocument/2006/relationships/hyperlink" Target="https://www.periodistadigital.com/politica/gobierno/2018/11/23/pedro-sanchez-presume-viaje-dictadura-cubana-twitter-masacra-vividor.shtml" TargetMode="External"/><Relationship Id="rId356" Type="http://schemas.openxmlformats.org/officeDocument/2006/relationships/hyperlink" Target="http://estudioslatinoseiberoamericanos.wordpress.com/" TargetMode="External"/><Relationship Id="rId563" Type="http://schemas.openxmlformats.org/officeDocument/2006/relationships/hyperlink" Target="http://www.es-emoticon.com/universomestizo/" TargetMode="External"/><Relationship Id="rId770" Type="http://schemas.openxmlformats.org/officeDocument/2006/relationships/hyperlink" Target="https://www.20minutos.es/noticia/3499202/0/pedro-sanchez-viaje-cuba-reunion-diaz-canel-habana-llega/" TargetMode="External"/><Relationship Id="rId1193" Type="http://schemas.openxmlformats.org/officeDocument/2006/relationships/hyperlink" Target="https://www.ahorainformacion.es/blog/pedro-sanchez-el-portugues-y-la-hispanofobia-recalcitrante/" TargetMode="External"/><Relationship Id="rId2037" Type="http://schemas.openxmlformats.org/officeDocument/2006/relationships/hyperlink" Target="https://buff.ly/2p5JPUG" TargetMode="External"/><Relationship Id="rId2244" Type="http://schemas.openxmlformats.org/officeDocument/2006/relationships/hyperlink" Target="https://pbs.twimg.com/media/DsonA69U4AAeVaO.jpg" TargetMode="External"/><Relationship Id="rId2451" Type="http://schemas.openxmlformats.org/officeDocument/2006/relationships/hyperlink" Target="http://veoinfo.com/" TargetMode="External"/><Relationship Id="rId216" Type="http://schemas.openxmlformats.org/officeDocument/2006/relationships/hyperlink" Target="https://pbs.twimg.com/media/DssRsufUUAY1PY3.jpg" TargetMode="External"/><Relationship Id="rId423" Type="http://schemas.openxmlformats.org/officeDocument/2006/relationships/hyperlink" Target="https://pbs.twimg.com/media/DssBbbjXcAERwwv.jpg" TargetMode="External"/><Relationship Id="rId1053" Type="http://schemas.openxmlformats.org/officeDocument/2006/relationships/hyperlink" Target="https://espanol.cgtn.com/" TargetMode="External"/><Relationship Id="rId1260" Type="http://schemas.openxmlformats.org/officeDocument/2006/relationships/hyperlink" Target="http://20minutos.es/" TargetMode="External"/><Relationship Id="rId2104" Type="http://schemas.openxmlformats.org/officeDocument/2006/relationships/hyperlink" Target="https://www.libertaddigital.com/espana/2018-11-22/yoani-sanchez-el-viaje-de-sanchez-a-cuba-esta-mas-inclinado-al-oficialismo-que-a-la-disidencia-1276628714/" TargetMode="External"/><Relationship Id="rId3502" Type="http://schemas.openxmlformats.org/officeDocument/2006/relationships/hyperlink" Target="http://shr.gs/KRaqNFR" TargetMode="External"/><Relationship Id="rId630" Type="http://schemas.openxmlformats.org/officeDocument/2006/relationships/hyperlink" Target="https://pbs.twimg.com/media/DsrtGbfU8AAOw76.jpg" TargetMode="External"/><Relationship Id="rId2311" Type="http://schemas.openxmlformats.org/officeDocument/2006/relationships/hyperlink" Target="https://www.elperiodico.com/es/politica/20181122/pnv-arranca-pedro-sanchez-competencias-para-euskadi-7162799?utm_source=twitter&amp;utm_medium=social" TargetMode="External"/><Relationship Id="rId1120" Type="http://schemas.openxmlformats.org/officeDocument/2006/relationships/hyperlink" Target="https://pbs.twimg.com/media/Dsq80gHW0AEjqhE.jpg" TargetMode="External"/><Relationship Id="rId1937" Type="http://schemas.openxmlformats.org/officeDocument/2006/relationships/hyperlink" Target="http://www.eldiestro.es/" TargetMode="External"/><Relationship Id="rId3085" Type="http://schemas.openxmlformats.org/officeDocument/2006/relationships/hyperlink" Target="http://finitorralba.blogspot.com.es/" TargetMode="External"/><Relationship Id="rId3292" Type="http://schemas.openxmlformats.org/officeDocument/2006/relationships/hyperlink" Target="https://pbs.twimg.com/media/Dsm-4W3XQAAD7pd.jpg" TargetMode="External"/><Relationship Id="rId3152" Type="http://schemas.openxmlformats.org/officeDocument/2006/relationships/hyperlink" Target="https://www.instagram.com/javisanchezglez" TargetMode="External"/><Relationship Id="rId280" Type="http://schemas.openxmlformats.org/officeDocument/2006/relationships/hyperlink" Target="http://bit.ly/2OYsSX5" TargetMode="External"/><Relationship Id="rId3012" Type="http://schemas.openxmlformats.org/officeDocument/2006/relationships/hyperlink" Target="https://www.14ymedio.com/opinion/Cuba-viaje-arriesgado-Pedro-Sanchez_0_2550344946.html" TargetMode="External"/><Relationship Id="rId140" Type="http://schemas.openxmlformats.org/officeDocument/2006/relationships/hyperlink" Target="https://bit.ly/2r3Bke6" TargetMode="External"/><Relationship Id="rId6" Type="http://schemas.openxmlformats.org/officeDocument/2006/relationships/hyperlink" Target="https://twitter.com/VoxCordoba/status/1065753217898868736" TargetMode="External"/><Relationship Id="rId2778" Type="http://schemas.openxmlformats.org/officeDocument/2006/relationships/hyperlink" Target="https://okdiario.com/espana/2018/11/21/ejercito-del-aire-tres-aviones-pedro-sanchez-3373984" TargetMode="External"/><Relationship Id="rId2985" Type="http://schemas.openxmlformats.org/officeDocument/2006/relationships/hyperlink" Target="https://www.youtube.com/c/CharlieSwatX" TargetMode="External"/><Relationship Id="rId957" Type="http://schemas.openxmlformats.org/officeDocument/2006/relationships/hyperlink" Target="https://pbs.twimg.com/media/DsrJuMWWkAARty6.jpg" TargetMode="External"/><Relationship Id="rId1587" Type="http://schemas.openxmlformats.org/officeDocument/2006/relationships/hyperlink" Target="http://hispanosaldia.com/pedro-sanchez-es-primer-presidente-espanol-en-visitar-a-cuba-en-32-anos/" TargetMode="External"/><Relationship Id="rId1794" Type="http://schemas.openxmlformats.org/officeDocument/2006/relationships/hyperlink" Target="https://www.europapress.es/nacional/noticia-pedro-sanchez-llega-habana-primera-visita-oficial-cuba-20181122230626.html" TargetMode="External"/><Relationship Id="rId2638" Type="http://schemas.openxmlformats.org/officeDocument/2006/relationships/hyperlink" Target="https://www.elindependiente.com/politica/2018/11/22/may-soberania-britanica-gibraltar-absolutamente-clara-pedro-sanchez/?utm_source=share_buttons&amp;utm_medium=twitter&amp;utm_campaign=social_share" TargetMode="External"/><Relationship Id="rId2845" Type="http://schemas.openxmlformats.org/officeDocument/2006/relationships/hyperlink" Target="http://esradio.libertaddigital.com/es-la-tarde-de-dieter/" TargetMode="External"/><Relationship Id="rId86" Type="http://schemas.openxmlformats.org/officeDocument/2006/relationships/hyperlink" Target="https://pbs.twimg.com/media/DssM662W0AAIyYE.jpg" TargetMode="External"/><Relationship Id="rId817" Type="http://schemas.openxmlformats.org/officeDocument/2006/relationships/hyperlink" Target="http://www.lamarea.com/" TargetMode="External"/><Relationship Id="rId1447" Type="http://schemas.openxmlformats.org/officeDocument/2006/relationships/hyperlink" Target="https://actualidad.rt.com/actualidad/296596-pedro-sanchez-reune-miguel-diaz" TargetMode="External"/><Relationship Id="rId1654" Type="http://schemas.openxmlformats.org/officeDocument/2006/relationships/hyperlink" Target="https://pbs.twimg.com/media/DsphWdYUcAA9OsB.jpg" TargetMode="External"/><Relationship Id="rId1861" Type="http://schemas.openxmlformats.org/officeDocument/2006/relationships/hyperlink" Target="https://www.larioja.com/nacional/viaje-pedro-sanchez-cuba-20181123211321-ntrc.html" TargetMode="External"/><Relationship Id="rId2705" Type="http://schemas.openxmlformats.org/officeDocument/2006/relationships/hyperlink" Target="http://www.trabajadores.cu/" TargetMode="External"/><Relationship Id="rId2912" Type="http://schemas.openxmlformats.org/officeDocument/2006/relationships/hyperlink" Target="http://www.habanaradio.cu/" TargetMode="External"/><Relationship Id="rId1307" Type="http://schemas.openxmlformats.org/officeDocument/2006/relationships/hyperlink" Target="http://www.t13.cl/" TargetMode="External"/><Relationship Id="rId1514" Type="http://schemas.openxmlformats.org/officeDocument/2006/relationships/hyperlink" Target="http://caribbeandigital.net/" TargetMode="External"/><Relationship Id="rId1721" Type="http://schemas.openxmlformats.org/officeDocument/2006/relationships/hyperlink" Target="https://actualidad.rt.com/actualidad/296586-pedro-sanchez-hablar-theresa-may" TargetMode="External"/><Relationship Id="rId13" Type="http://schemas.openxmlformats.org/officeDocument/2006/relationships/hyperlink" Target="http://www.youtube.com/user/TheBarbazul5" TargetMode="External"/><Relationship Id="rId3479" Type="http://schemas.openxmlformats.org/officeDocument/2006/relationships/hyperlink" Target="https://www.hechosdehoy.com/theresa-may-y-pedro-sanchez-larga-llamada-sobre-gibraltar-70270.htm" TargetMode="External"/><Relationship Id="rId2288" Type="http://schemas.openxmlformats.org/officeDocument/2006/relationships/hyperlink" Target="https://www.libertaddigital.com/espana/2018-11-22/pedro-sanchez-viaja-a-cuba-para-rendir-pleitesia-al-regimen-castrista-1276628700/" TargetMode="External"/><Relationship Id="rId2495" Type="http://schemas.openxmlformats.org/officeDocument/2006/relationships/hyperlink" Target="https://www.libertaddigital.com/espana/2018-11-21/pedro-sanchez-pide-a-casado-y-rufian-que-pidan-discupas-por-el-escupitajo-de-erc-a-borell-1276628638/" TargetMode="External"/><Relationship Id="rId3339" Type="http://schemas.openxmlformats.org/officeDocument/2006/relationships/hyperlink" Target="https://youtu.be/OBEluUwFIu0" TargetMode="External"/><Relationship Id="rId467" Type="http://schemas.openxmlformats.org/officeDocument/2006/relationships/hyperlink" Target="https://paper.li/jc_karnak23/1421946456?read=https%3A%2F%2Fwww.eldiario.es%2Fzonacritica%2FPedro-Sanchez-estropeado-experimento_6_838226218.html" TargetMode="External"/><Relationship Id="rId1097" Type="http://schemas.openxmlformats.org/officeDocument/2006/relationships/hyperlink" Target="https://www.instagram.com/nicormg/" TargetMode="External"/><Relationship Id="rId2148" Type="http://schemas.openxmlformats.org/officeDocument/2006/relationships/hyperlink" Target="https://elpais.com/politica/2018/11/21/actualidad/1542810485_448113.html?id_externo_rsoc=TW_CC" TargetMode="External"/><Relationship Id="rId3546" Type="http://schemas.openxmlformats.org/officeDocument/2006/relationships/hyperlink" Target="https://ift.tt/2Kr6V1T" TargetMode="External"/><Relationship Id="rId674" Type="http://schemas.openxmlformats.org/officeDocument/2006/relationships/hyperlink" Target="https://mundo.sputniknews.com/politica/201811231083625746-visita-pedro-sanchez-la-habana/" TargetMode="External"/><Relationship Id="rId881" Type="http://schemas.openxmlformats.org/officeDocument/2006/relationships/hyperlink" Target="https://cronicaglobal.elespanol.com/politica/torra-pide-bosch-ministro-exteriores_201733_102.html" TargetMode="External"/><Relationship Id="rId2355" Type="http://schemas.openxmlformats.org/officeDocument/2006/relationships/hyperlink" Target="https://www.facebook.com/juanjose.sanchezsoto.1" TargetMode="External"/><Relationship Id="rId2562" Type="http://schemas.openxmlformats.org/officeDocument/2006/relationships/hyperlink" Target="https://okdiario.com/espana/2018/11/21/ejercito-del-aire-tres-aviones-pedro-sanchez-3373984?utm_campaign=newsletter-21-noviembre&amp;utm_medium=email&amp;utm_source=acumbamail" TargetMode="External"/><Relationship Id="rId3406" Type="http://schemas.openxmlformats.org/officeDocument/2006/relationships/hyperlink" Target="https://www.diariolasamericas.com/c4166959" TargetMode="External"/><Relationship Id="rId327" Type="http://schemas.openxmlformats.org/officeDocument/2006/relationships/hyperlink" Target="https://www.alertanacional.es/" TargetMode="External"/><Relationship Id="rId534" Type="http://schemas.openxmlformats.org/officeDocument/2006/relationships/hyperlink" Target="https://www.youtube.com/c/ElPeriodistaCamorrista" TargetMode="External"/><Relationship Id="rId741" Type="http://schemas.openxmlformats.org/officeDocument/2006/relationships/hyperlink" Target="https://pbs.twimg.com/media/DsreCrwXcAI1-0X.jpg" TargetMode="External"/><Relationship Id="rId1164" Type="http://schemas.openxmlformats.org/officeDocument/2006/relationships/hyperlink" Target="http://blogs.elconfidencial.com/espana/caza-mayor/" TargetMode="External"/><Relationship Id="rId1371" Type="http://schemas.openxmlformats.org/officeDocument/2006/relationships/hyperlink" Target="https://ift.tt/2DDE8WE" TargetMode="External"/><Relationship Id="rId2008" Type="http://schemas.openxmlformats.org/officeDocument/2006/relationships/hyperlink" Target="https://pbs.twimg.com/media/Dso57-gVYAAFJPx.jpg" TargetMode="External"/><Relationship Id="rId2215" Type="http://schemas.openxmlformats.org/officeDocument/2006/relationships/hyperlink" Target="https://elpais.com/politica/2018/11/21/actualidad/1542810485_448113.html?id_externo_rsoc=TW_CC" TargetMode="External"/><Relationship Id="rId2422" Type="http://schemas.openxmlformats.org/officeDocument/2006/relationships/hyperlink" Target="https://www.libertaddigital.com/espana/2018-11-22/pedro-sanchez-viaja-a-cuba-para-rendir-pleitesia-al-regimen-castrista-1276628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500"/>
  <sheetViews>
    <sheetView tabSelected="1" workbookViewId="0">
      <pane ySplit="2" topLeftCell="A2445" activePane="bottomLeft" state="frozen"/>
      <selection pane="bottomLeft" activeCell="D2" sqref="D1:D10485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29" t="s">
        <v>0</v>
      </c>
      <c r="B1" s="30"/>
      <c r="C1" s="30"/>
      <c r="D1" s="30"/>
      <c r="E1" s="30"/>
      <c r="F1" s="30"/>
      <c r="G1" s="30"/>
      <c r="H1" s="30"/>
      <c r="I1" s="30"/>
      <c r="J1" s="30"/>
      <c r="K1" s="30"/>
      <c r="L1" s="31" t="s">
        <v>2</v>
      </c>
      <c r="M1" s="30"/>
      <c r="N1" s="30"/>
      <c r="O1" s="30"/>
      <c r="P1" s="30"/>
      <c r="Q1" s="30"/>
      <c r="R1" s="30"/>
      <c r="S1" s="30"/>
      <c r="T1" s="30"/>
      <c r="U1" s="30"/>
    </row>
    <row r="2" spans="1:21" ht="29.25" customHeight="1">
      <c r="A2" s="1" t="s">
        <v>1</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40.799999999999997">
      <c r="A3" s="6">
        <v>43427.680613425924</v>
      </c>
      <c r="B3" s="7" t="str">
        <f>HYPERLINK("https://twitter.com/Cambio16","@Cambio16")</f>
        <v>@Cambio16</v>
      </c>
      <c r="C3" s="8" t="s">
        <v>22</v>
      </c>
      <c r="D3" s="9" t="s">
        <v>23</v>
      </c>
      <c r="E3" s="10" t="str">
        <f>HYPERLINK("https://twitter.com/Cambio16/status/1065988362539098112","1065988362539098112")</f>
        <v>1065988362539098112</v>
      </c>
      <c r="F3" s="11" t="s">
        <v>24</v>
      </c>
      <c r="G3" s="11" t="s">
        <v>25</v>
      </c>
      <c r="H3" s="12"/>
      <c r="I3" s="13">
        <v>0</v>
      </c>
      <c r="J3" s="13">
        <v>0</v>
      </c>
      <c r="K3" s="14" t="str">
        <f>HYPERLINK("https://www.hootsuite.com","Hootsuite Inc.")</f>
        <v>Hootsuite Inc.</v>
      </c>
      <c r="L3" s="13">
        <v>17345</v>
      </c>
      <c r="M3" s="13">
        <v>765</v>
      </c>
      <c r="N3" s="13">
        <v>499</v>
      </c>
      <c r="O3" s="15"/>
      <c r="P3" s="6">
        <v>40341.492245370369</v>
      </c>
      <c r="Q3" s="17" t="s">
        <v>27</v>
      </c>
      <c r="R3" s="18" t="s">
        <v>30</v>
      </c>
      <c r="S3" s="11" t="s">
        <v>31</v>
      </c>
      <c r="T3" s="12"/>
      <c r="U3" s="10" t="str">
        <f>HYPERLINK("https://pbs.twimg.com/profile_images/1060221846208069632/vJfJ3_T5.jpg","View")</f>
        <v>View</v>
      </c>
    </row>
    <row r="4" spans="1:21" ht="30.6">
      <c r="A4" s="6">
        <v>43427.679988425924</v>
      </c>
      <c r="B4" s="7" t="str">
        <f>HYPERLINK("https://twitter.com/RicardoSiles36","@RicardoSiles36")</f>
        <v>@RicardoSiles36</v>
      </c>
      <c r="C4" s="8" t="s">
        <v>32</v>
      </c>
      <c r="D4" s="9" t="s">
        <v>33</v>
      </c>
      <c r="E4" s="10" t="str">
        <f>HYPERLINK("https://twitter.com/RicardoSiles36/status/1065988135753056256","1065988135753056256")</f>
        <v>1065988135753056256</v>
      </c>
      <c r="F4" s="11" t="s">
        <v>35</v>
      </c>
      <c r="G4" s="12"/>
      <c r="H4" s="12"/>
      <c r="I4" s="13">
        <v>0</v>
      </c>
      <c r="J4" s="13">
        <v>0</v>
      </c>
      <c r="K4" s="14" t="str">
        <f>HYPERLINK("https://ifttt.com","IFTTT")</f>
        <v>IFTTT</v>
      </c>
      <c r="L4" s="13">
        <v>2287</v>
      </c>
      <c r="M4" s="13">
        <v>1369</v>
      </c>
      <c r="N4" s="13">
        <v>44</v>
      </c>
      <c r="O4" s="15"/>
      <c r="P4" s="6">
        <v>40388.647337962961</v>
      </c>
      <c r="Q4" s="17" t="s">
        <v>40</v>
      </c>
      <c r="R4" s="18" t="s">
        <v>41</v>
      </c>
      <c r="S4" s="12"/>
      <c r="T4" s="12"/>
      <c r="U4" s="10" t="str">
        <f>HYPERLINK("https://pbs.twimg.com/profile_images/883490255558459392/Xaga-McM.jpg","View")</f>
        <v>View</v>
      </c>
    </row>
    <row r="5" spans="1:21" ht="40.799999999999997">
      <c r="A5" s="6">
        <v>43427.679733796293</v>
      </c>
      <c r="B5" s="7" t="str">
        <f>HYPERLINK("https://twitter.com/IdafeMartin","@IdafeMartin")</f>
        <v>@IdafeMartin</v>
      </c>
      <c r="C5" s="8" t="s">
        <v>44</v>
      </c>
      <c r="D5" s="9" t="s">
        <v>45</v>
      </c>
      <c r="E5" s="10" t="str">
        <f>HYPERLINK("https://twitter.com/IdafeMartin/status/1065988044640174080","1065988044640174080")</f>
        <v>1065988044640174080</v>
      </c>
      <c r="F5" s="17" t="s">
        <v>46</v>
      </c>
      <c r="G5" s="12"/>
      <c r="H5" s="12"/>
      <c r="I5" s="13">
        <v>1</v>
      </c>
      <c r="J5" s="13">
        <v>0</v>
      </c>
      <c r="K5" s="14" t="str">
        <f t="shared" ref="K5:K6" si="0">HYPERLINK("http://twitter.com/download/android","Twitter for Android")</f>
        <v>Twitter for Android</v>
      </c>
      <c r="L5" s="13">
        <v>9533</v>
      </c>
      <c r="M5" s="13">
        <v>296</v>
      </c>
      <c r="N5" s="13">
        <v>488</v>
      </c>
      <c r="O5" s="15"/>
      <c r="P5" s="6">
        <v>39909.755879629629</v>
      </c>
      <c r="Q5" s="17" t="s">
        <v>49</v>
      </c>
      <c r="R5" s="18" t="s">
        <v>50</v>
      </c>
      <c r="S5" s="11" t="s">
        <v>51</v>
      </c>
      <c r="T5" s="12"/>
      <c r="U5" s="10" t="str">
        <f>HYPERLINK("https://pbs.twimg.com/profile_images/1053390286422974465/lMZyywNc.jpg","View")</f>
        <v>View</v>
      </c>
    </row>
    <row r="6" spans="1:21" ht="71.400000000000006">
      <c r="A6" s="6">
        <v>43427.679548611108</v>
      </c>
      <c r="B6" s="7" t="str">
        <f>HYPERLINK("https://twitter.com/33473ee1bcc5403","@33473ee1bcc5403")</f>
        <v>@33473ee1bcc5403</v>
      </c>
      <c r="C6" s="8" t="s">
        <v>55</v>
      </c>
      <c r="D6" s="9" t="s">
        <v>56</v>
      </c>
      <c r="E6" s="10" t="str">
        <f>HYPERLINK("https://twitter.com/33473ee1bcc5403/status/1065987975773913088","1065987975773913088")</f>
        <v>1065987975773913088</v>
      </c>
      <c r="F6" s="11" t="s">
        <v>57</v>
      </c>
      <c r="G6" s="11" t="s">
        <v>58</v>
      </c>
      <c r="H6" s="12"/>
      <c r="I6" s="13">
        <v>0</v>
      </c>
      <c r="J6" s="13">
        <v>0</v>
      </c>
      <c r="K6" s="14" t="str">
        <f t="shared" si="0"/>
        <v>Twitter for Android</v>
      </c>
      <c r="L6" s="13">
        <v>79</v>
      </c>
      <c r="M6" s="13">
        <v>195</v>
      </c>
      <c r="N6" s="13">
        <v>0</v>
      </c>
      <c r="O6" s="15"/>
      <c r="P6" s="6">
        <v>41770.680428240739</v>
      </c>
      <c r="Q6" s="12"/>
      <c r="R6" s="18" t="s">
        <v>59</v>
      </c>
      <c r="S6" s="12"/>
      <c r="T6" s="12"/>
      <c r="U6" s="10" t="str">
        <f>HYPERLINK("https://pbs.twimg.com/profile_images/466559836906586112/cuV7aWX0.jpeg","View")</f>
        <v>View</v>
      </c>
    </row>
    <row r="7" spans="1:21" ht="30.6">
      <c r="A7" s="6">
        <v>43427.678819444445</v>
      </c>
      <c r="B7" s="7" t="str">
        <f>HYPERLINK("https://twitter.com/SENECA_HH","@SENECA_HH")</f>
        <v>@SENECA_HH</v>
      </c>
      <c r="C7" s="8" t="s">
        <v>61</v>
      </c>
      <c r="D7" s="9" t="s">
        <v>63</v>
      </c>
      <c r="E7" s="10" t="str">
        <f>HYPERLINK("https://twitter.com/SENECA_HH/status/1065987714540060673","1065987714540060673")</f>
        <v>1065987714540060673</v>
      </c>
      <c r="F7" s="11" t="s">
        <v>64</v>
      </c>
      <c r="G7" s="12"/>
      <c r="H7" s="12"/>
      <c r="I7" s="13">
        <v>0</v>
      </c>
      <c r="J7" s="13">
        <v>0</v>
      </c>
      <c r="K7" s="14" t="str">
        <f t="shared" ref="K7:K8" si="1">HYPERLINK("http://twitter.com","Twitter Web Client")</f>
        <v>Twitter Web Client</v>
      </c>
      <c r="L7" s="13">
        <v>1348</v>
      </c>
      <c r="M7" s="13">
        <v>972</v>
      </c>
      <c r="N7" s="13">
        <v>25</v>
      </c>
      <c r="O7" s="15"/>
      <c r="P7" s="6">
        <v>40944.904756944445</v>
      </c>
      <c r="Q7" s="17" t="s">
        <v>28</v>
      </c>
      <c r="R7" s="18" t="s">
        <v>65</v>
      </c>
      <c r="S7" s="12"/>
      <c r="T7" s="12"/>
      <c r="U7" s="10" t="str">
        <f>HYPERLINK("https://pbs.twimg.com/profile_images/1006505117884076033/HyYIq-WV.jpg","View")</f>
        <v>View</v>
      </c>
    </row>
    <row r="8" spans="1:21" ht="20.399999999999999">
      <c r="A8" s="6">
        <v>43427.678622685184</v>
      </c>
      <c r="B8" s="7" t="str">
        <f>HYPERLINK("https://twitter.com/AlfonsoRojoPD","@AlfonsoRojoPD")</f>
        <v>@AlfonsoRojoPD</v>
      </c>
      <c r="C8" s="8" t="s">
        <v>67</v>
      </c>
      <c r="D8" s="9" t="s">
        <v>68</v>
      </c>
      <c r="E8" s="10" t="str">
        <f>HYPERLINK("https://twitter.com/AlfonsoRojoPD/status/1065987640258895872","1065987640258895872")</f>
        <v>1065987640258895872</v>
      </c>
      <c r="F8" s="11" t="s">
        <v>69</v>
      </c>
      <c r="G8" s="12"/>
      <c r="H8" s="12"/>
      <c r="I8" s="13">
        <v>2</v>
      </c>
      <c r="J8" s="13">
        <v>3</v>
      </c>
      <c r="K8" s="14" t="str">
        <f t="shared" si="1"/>
        <v>Twitter Web Client</v>
      </c>
      <c r="L8" s="13">
        <v>48930</v>
      </c>
      <c r="M8" s="13">
        <v>0</v>
      </c>
      <c r="N8" s="13">
        <v>671</v>
      </c>
      <c r="O8" s="16" t="s">
        <v>26</v>
      </c>
      <c r="P8" s="6">
        <v>41704.447048611109</v>
      </c>
      <c r="Q8" s="17" t="s">
        <v>72</v>
      </c>
      <c r="R8" s="18" t="s">
        <v>73</v>
      </c>
      <c r="S8" s="11" t="s">
        <v>74</v>
      </c>
      <c r="T8" s="12"/>
      <c r="U8" s="10" t="str">
        <f>HYPERLINK("https://pbs.twimg.com/profile_images/441511791210663936/QbI_6aXh.jpeg","View")</f>
        <v>View</v>
      </c>
    </row>
    <row r="9" spans="1:21" ht="30.6">
      <c r="A9" s="6">
        <v>43427.677430555559</v>
      </c>
      <c r="B9" s="7" t="str">
        <f>HYPERLINK("https://twitter.com/ffuenmayor62","@ffuenmayor62")</f>
        <v>@ffuenmayor62</v>
      </c>
      <c r="C9" s="8" t="s">
        <v>76</v>
      </c>
      <c r="D9" s="9" t="s">
        <v>77</v>
      </c>
      <c r="E9" s="10" t="str">
        <f>HYPERLINK("https://twitter.com/ffuenmayor62/status/1065987208685998083","1065987208685998083")</f>
        <v>1065987208685998083</v>
      </c>
      <c r="F9" s="12"/>
      <c r="G9" s="12"/>
      <c r="H9" s="12"/>
      <c r="I9" s="13">
        <v>0</v>
      </c>
      <c r="J9" s="13">
        <v>0</v>
      </c>
      <c r="K9" s="14" t="str">
        <f t="shared" ref="K9:K10" si="2">HYPERLINK("http://twitter.com/download/android","Twitter for Android")</f>
        <v>Twitter for Android</v>
      </c>
      <c r="L9" s="13">
        <v>161</v>
      </c>
      <c r="M9" s="13">
        <v>193</v>
      </c>
      <c r="N9" s="13">
        <v>1</v>
      </c>
      <c r="O9" s="15"/>
      <c r="P9" s="6">
        <v>41625.992800925924</v>
      </c>
      <c r="Q9" s="12"/>
      <c r="R9" s="19"/>
      <c r="S9" s="12"/>
      <c r="T9" s="12"/>
      <c r="U9" s="10" t="str">
        <f>HYPERLINK("https://pbs.twimg.com/profile_images/436233663374958592/rOeCeJxC.jpeg","View")</f>
        <v>View</v>
      </c>
    </row>
    <row r="10" spans="1:21" ht="30.6">
      <c r="A10" s="6">
        <v>43427.676319444443</v>
      </c>
      <c r="B10" s="7" t="str">
        <f>HYPERLINK("https://twitter.com/MarisaVargas_R","@MarisaVargas_R")</f>
        <v>@MarisaVargas_R</v>
      </c>
      <c r="C10" s="8" t="s">
        <v>82</v>
      </c>
      <c r="D10" s="9" t="s">
        <v>83</v>
      </c>
      <c r="E10" s="10" t="str">
        <f>HYPERLINK("https://twitter.com/MarisaVargas_R/status/1065986806741635072","1065986806741635072")</f>
        <v>1065986806741635072</v>
      </c>
      <c r="F10" s="11" t="s">
        <v>69</v>
      </c>
      <c r="G10" s="12"/>
      <c r="H10" s="12"/>
      <c r="I10" s="13">
        <v>0</v>
      </c>
      <c r="J10" s="13">
        <v>0</v>
      </c>
      <c r="K10" s="14" t="str">
        <f t="shared" si="2"/>
        <v>Twitter for Android</v>
      </c>
      <c r="L10" s="13">
        <v>9387</v>
      </c>
      <c r="M10" s="13">
        <v>9193</v>
      </c>
      <c r="N10" s="13">
        <v>159</v>
      </c>
      <c r="O10" s="15"/>
      <c r="P10" s="6">
        <v>40624.802627314813</v>
      </c>
      <c r="Q10" s="17" t="s">
        <v>85</v>
      </c>
      <c r="R10" s="18" t="s">
        <v>86</v>
      </c>
      <c r="S10" s="12"/>
      <c r="T10" s="12"/>
      <c r="U10" s="10" t="str">
        <f>HYPERLINK("https://pbs.twimg.com/profile_images/789471807682256896/cuEOEHIr.jpg","View")</f>
        <v>View</v>
      </c>
    </row>
    <row r="11" spans="1:21" ht="30.6">
      <c r="A11" s="6">
        <v>43427.675289351857</v>
      </c>
      <c r="B11" s="7" t="str">
        <f>HYPERLINK("https://twitter.com/_barbazul5","@_barbazul5")</f>
        <v>@_barbazul5</v>
      </c>
      <c r="C11" s="8" t="s">
        <v>91</v>
      </c>
      <c r="D11" s="9" t="s">
        <v>92</v>
      </c>
      <c r="E11" s="10" t="str">
        <f>HYPERLINK("https://twitter.com/_barbazul5/status/1065986432605540352","1065986432605540352")</f>
        <v>1065986432605540352</v>
      </c>
      <c r="F11" s="11" t="s">
        <v>93</v>
      </c>
      <c r="G11" s="12"/>
      <c r="H11" s="12"/>
      <c r="I11" s="13">
        <v>0</v>
      </c>
      <c r="J11" s="13">
        <v>0</v>
      </c>
      <c r="K11" s="14" t="str">
        <f>HYPERLINK("http://www.facebook.com/twitter","Facebook")</f>
        <v>Facebook</v>
      </c>
      <c r="L11" s="13">
        <v>217</v>
      </c>
      <c r="M11" s="13">
        <v>165</v>
      </c>
      <c r="N11" s="13">
        <v>7</v>
      </c>
      <c r="O11" s="15"/>
      <c r="P11" s="6">
        <v>40817.404641203706</v>
      </c>
      <c r="Q11" s="17" t="s">
        <v>94</v>
      </c>
      <c r="R11" s="19"/>
      <c r="S11" s="11" t="s">
        <v>95</v>
      </c>
      <c r="T11" s="12"/>
      <c r="U11" s="10" t="str">
        <f>HYPERLINK("https://pbs.twimg.com/profile_images/673976526690480128/jgM3TH1Y.jpg","View")</f>
        <v>View</v>
      </c>
    </row>
    <row r="12" spans="1:21" ht="30.6">
      <c r="A12" s="6">
        <v>43427.674780092595</v>
      </c>
      <c r="B12" s="7" t="str">
        <f>HYPERLINK("https://twitter.com/periodicovzlano","@periodicovzlano")</f>
        <v>@periodicovzlano</v>
      </c>
      <c r="C12" s="8" t="s">
        <v>97</v>
      </c>
      <c r="D12" s="9" t="s">
        <v>98</v>
      </c>
      <c r="E12" s="10" t="str">
        <f>HYPERLINK("https://twitter.com/periodicovzlano/status/1065986248479789056","1065986248479789056")</f>
        <v>1065986248479789056</v>
      </c>
      <c r="F12" s="11" t="s">
        <v>99</v>
      </c>
      <c r="G12" s="11" t="s">
        <v>100</v>
      </c>
      <c r="H12" s="12"/>
      <c r="I12" s="13">
        <v>0</v>
      </c>
      <c r="J12" s="13">
        <v>0</v>
      </c>
      <c r="K12" s="14" t="str">
        <f>HYPERLINK("http://epmundo.com","Tuiteo TOP EP (1)")</f>
        <v>Tuiteo TOP EP (1)</v>
      </c>
      <c r="L12" s="13">
        <v>479592</v>
      </c>
      <c r="M12" s="13">
        <v>359153</v>
      </c>
      <c r="N12" s="13">
        <v>1296</v>
      </c>
      <c r="O12" s="15"/>
      <c r="P12" s="6">
        <v>40663.3512962963</v>
      </c>
      <c r="Q12" s="17" t="s">
        <v>104</v>
      </c>
      <c r="R12" s="18" t="s">
        <v>105</v>
      </c>
      <c r="S12" s="11" t="s">
        <v>106</v>
      </c>
      <c r="T12" s="12"/>
      <c r="U12" s="10" t="str">
        <f>HYPERLINK("https://pbs.twimg.com/profile_images/958328579250638849/MCz7Q8U6.jpg","View")</f>
        <v>View</v>
      </c>
    </row>
    <row r="13" spans="1:21" ht="20.399999999999999">
      <c r="A13" s="6">
        <v>43427.673576388886</v>
      </c>
      <c r="B13" s="7" t="str">
        <f>HYPERLINK("https://twitter.com/OkdEconomia","@OkdEconomia")</f>
        <v>@OkdEconomia</v>
      </c>
      <c r="C13" s="8" t="s">
        <v>107</v>
      </c>
      <c r="D13" s="9" t="s">
        <v>108</v>
      </c>
      <c r="E13" s="10" t="str">
        <f>HYPERLINK("https://twitter.com/OkdEconomia/status/1065985812930670592","1065985812930670592")</f>
        <v>1065985812930670592</v>
      </c>
      <c r="F13" s="11" t="s">
        <v>109</v>
      </c>
      <c r="G13" s="12"/>
      <c r="H13" s="12"/>
      <c r="I13" s="13">
        <v>0</v>
      </c>
      <c r="J13" s="13">
        <v>0</v>
      </c>
      <c r="K13" s="14" t="str">
        <f>HYPERLINK("https://www.echobox.com","Echobox Social")</f>
        <v>Echobox Social</v>
      </c>
      <c r="L13" s="13">
        <v>481</v>
      </c>
      <c r="M13" s="13">
        <v>137</v>
      </c>
      <c r="N13" s="13">
        <v>1</v>
      </c>
      <c r="O13" s="15"/>
      <c r="P13" s="6">
        <v>43250.721377314811</v>
      </c>
      <c r="Q13" s="12"/>
      <c r="R13" s="19"/>
      <c r="S13" s="12"/>
      <c r="T13" s="12"/>
      <c r="U13" s="10" t="str">
        <f>HYPERLINK("https://pbs.twimg.com/profile_images/1001879816453459968/rOP5DxNL.jpg","View")</f>
        <v>View</v>
      </c>
    </row>
    <row r="14" spans="1:21" ht="20.399999999999999">
      <c r="A14" s="6">
        <v>43427.673101851848</v>
      </c>
      <c r="B14" s="7" t="str">
        <f>HYPERLINK("https://twitter.com/titulares24hora","@titulares24hora")</f>
        <v>@titulares24hora</v>
      </c>
      <c r="C14" s="8" t="s">
        <v>112</v>
      </c>
      <c r="D14" s="9" t="s">
        <v>113</v>
      </c>
      <c r="E14" s="10" t="str">
        <f>HYPERLINK("https://twitter.com/titulares24hora/status/1065985639240351744","1065985639240351744")</f>
        <v>1065985639240351744</v>
      </c>
      <c r="F14" s="12"/>
      <c r="G14" s="12"/>
      <c r="H14" s="12"/>
      <c r="I14" s="13">
        <v>0</v>
      </c>
      <c r="J14" s="13">
        <v>0</v>
      </c>
      <c r="K14" s="14" t="str">
        <f>HYPERLINK("https://ifttt.com","IFTTT")</f>
        <v>IFTTT</v>
      </c>
      <c r="L14" s="13">
        <v>394</v>
      </c>
      <c r="M14" s="13">
        <v>1463</v>
      </c>
      <c r="N14" s="13">
        <v>2</v>
      </c>
      <c r="O14" s="15"/>
      <c r="P14" s="6">
        <v>42508.446805555555</v>
      </c>
      <c r="Q14" s="12"/>
      <c r="R14" s="18" t="s">
        <v>116</v>
      </c>
      <c r="S14" s="12"/>
      <c r="T14" s="12"/>
      <c r="U14" s="10" t="str">
        <f>HYPERLINK("https://pbs.twimg.com/profile_images/732855169034166272/A8O2LY2J.jpg","View")</f>
        <v>View</v>
      </c>
    </row>
    <row r="15" spans="1:21" ht="20.399999999999999">
      <c r="A15" s="6">
        <v>43427.672812500001</v>
      </c>
      <c r="B15" s="7" t="str">
        <f>HYPERLINK("https://twitter.com/akramrichani","@akramrichani")</f>
        <v>@akramrichani</v>
      </c>
      <c r="C15" s="8" t="s">
        <v>117</v>
      </c>
      <c r="D15" s="9" t="s">
        <v>118</v>
      </c>
      <c r="E15" s="10" t="str">
        <f>HYPERLINK("https://twitter.com/akramrichani/status/1065985534114316288","1065985534114316288")</f>
        <v>1065985534114316288</v>
      </c>
      <c r="F15" s="11" t="s">
        <v>119</v>
      </c>
      <c r="G15" s="12"/>
      <c r="H15" s="12"/>
      <c r="I15" s="13">
        <v>0</v>
      </c>
      <c r="J15" s="13">
        <v>0</v>
      </c>
      <c r="K15" s="14" t="str">
        <f>HYPERLINK("http://twitter.com/download/android","Twitter for Android")</f>
        <v>Twitter for Android</v>
      </c>
      <c r="L15" s="13">
        <v>181</v>
      </c>
      <c r="M15" s="13">
        <v>660</v>
      </c>
      <c r="N15" s="13">
        <v>19</v>
      </c>
      <c r="O15" s="15"/>
      <c r="P15" s="6">
        <v>40338.705381944441</v>
      </c>
      <c r="Q15" s="12"/>
      <c r="R15" s="19"/>
      <c r="S15" s="12"/>
      <c r="T15" s="12"/>
      <c r="U15" s="10" t="str">
        <f>HYPERLINK("https://pbs.twimg.com/profile_images/608610078711779329/PFKz7yAB.jpg","View")</f>
        <v>View</v>
      </c>
    </row>
    <row r="16" spans="1:21" ht="20.399999999999999">
      <c r="A16" s="6">
        <v>43427.67260416667</v>
      </c>
      <c r="B16" s="7" t="str">
        <f>HYPERLINK("https://twitter.com/adelacafe93","@adelacafe93")</f>
        <v>@adelacafe93</v>
      </c>
      <c r="C16" s="8" t="s">
        <v>121</v>
      </c>
      <c r="D16" s="9" t="s">
        <v>113</v>
      </c>
      <c r="E16" s="10" t="str">
        <f>HYPERLINK("https://twitter.com/adelacafe93/status/1065985460957114369","1065985460957114369")</f>
        <v>1065985460957114369</v>
      </c>
      <c r="F16" s="11" t="s">
        <v>122</v>
      </c>
      <c r="G16" s="12"/>
      <c r="H16" s="12"/>
      <c r="I16" s="13">
        <v>0</v>
      </c>
      <c r="J16" s="13">
        <v>0</v>
      </c>
      <c r="K16" s="14" t="str">
        <f>HYPERLINK("https://ifttt.com","IFTTT")</f>
        <v>IFTTT</v>
      </c>
      <c r="L16" s="13">
        <v>18</v>
      </c>
      <c r="M16" s="13">
        <v>47</v>
      </c>
      <c r="N16" s="13">
        <v>0</v>
      </c>
      <c r="O16" s="15"/>
      <c r="P16" s="6">
        <v>42761.615034722221</v>
      </c>
      <c r="Q16" s="17" t="s">
        <v>123</v>
      </c>
      <c r="R16" s="18" t="s">
        <v>124</v>
      </c>
      <c r="S16" s="12"/>
      <c r="T16" s="12"/>
      <c r="U16" s="10" t="str">
        <f>HYPERLINK("https://pbs.twimg.com/profile_images/824614694078013444/fkDV_Y0Z.jpg","View")</f>
        <v>View</v>
      </c>
    </row>
    <row r="17" spans="1:21" ht="51">
      <c r="A17" s="6">
        <v>43427.671585648146</v>
      </c>
      <c r="B17" s="7" t="str">
        <f>HYPERLINK("https://twitter.com/RadioCubitas","@RadioCubitas")</f>
        <v>@RadioCubitas</v>
      </c>
      <c r="C17" s="8" t="s">
        <v>125</v>
      </c>
      <c r="D17" s="9" t="s">
        <v>126</v>
      </c>
      <c r="E17" s="10" t="str">
        <f>HYPERLINK("https://twitter.com/RadioCubitas/status/1065985092647116800","1065985092647116800")</f>
        <v>1065985092647116800</v>
      </c>
      <c r="F17" s="11" t="s">
        <v>128</v>
      </c>
      <c r="G17" s="11" t="s">
        <v>129</v>
      </c>
      <c r="H17" s="12"/>
      <c r="I17" s="13">
        <v>0</v>
      </c>
      <c r="J17" s="13">
        <v>0</v>
      </c>
      <c r="K17" s="14" t="str">
        <f>HYPERLINK("http://twitter.com","Twitter Web Client")</f>
        <v>Twitter Web Client</v>
      </c>
      <c r="L17" s="13">
        <v>5315</v>
      </c>
      <c r="M17" s="13">
        <v>5262</v>
      </c>
      <c r="N17" s="13">
        <v>41</v>
      </c>
      <c r="O17" s="15"/>
      <c r="P17" s="6">
        <v>41705.905555555553</v>
      </c>
      <c r="Q17" s="17" t="s">
        <v>130</v>
      </c>
      <c r="R17" s="18" t="s">
        <v>131</v>
      </c>
      <c r="S17" s="11" t="s">
        <v>132</v>
      </c>
      <c r="T17" s="12"/>
      <c r="U17" s="10" t="str">
        <f>HYPERLINK("https://pbs.twimg.com/profile_images/827328228427603969/OHhPXJdP.jpg","View")</f>
        <v>View</v>
      </c>
    </row>
    <row r="18" spans="1:21" ht="20.399999999999999">
      <c r="A18" s="6">
        <v>43427.6715162037</v>
      </c>
      <c r="B18" s="7" t="str">
        <f>HYPERLINK("https://twitter.com/EPNacional","@EPNacional")</f>
        <v>@EPNacional</v>
      </c>
      <c r="C18" s="8" t="s">
        <v>133</v>
      </c>
      <c r="D18" s="9" t="s">
        <v>134</v>
      </c>
      <c r="E18" s="10" t="str">
        <f>HYPERLINK("https://twitter.com/EPNacional/status/1065985064339689472","1065985064339689472")</f>
        <v>1065985064339689472</v>
      </c>
      <c r="F18" s="11" t="s">
        <v>135</v>
      </c>
      <c r="G18" s="11" t="s">
        <v>136</v>
      </c>
      <c r="H18" s="12"/>
      <c r="I18" s="13">
        <v>3</v>
      </c>
      <c r="J18" s="13">
        <v>2</v>
      </c>
      <c r="K18" s="14" t="str">
        <f>HYPERLINK("https://about.twitter.com/products/tweetdeck","TweetDeck")</f>
        <v>TweetDeck</v>
      </c>
      <c r="L18" s="13">
        <v>10739</v>
      </c>
      <c r="M18" s="13">
        <v>128</v>
      </c>
      <c r="N18" s="13">
        <v>240</v>
      </c>
      <c r="O18" s="16" t="s">
        <v>26</v>
      </c>
      <c r="P18" s="6">
        <v>41708.447858796295</v>
      </c>
      <c r="Q18" s="12"/>
      <c r="R18" s="18" t="s">
        <v>137</v>
      </c>
      <c r="S18" s="11" t="s">
        <v>138</v>
      </c>
      <c r="T18" s="12"/>
      <c r="U18" s="10" t="str">
        <f>HYPERLINK("https://pbs.twimg.com/profile_images/877113547158847488/eIlueLsb.jpg","View")</f>
        <v>View</v>
      </c>
    </row>
    <row r="19" spans="1:21" ht="51">
      <c r="A19" s="6">
        <v>43427.670543981483</v>
      </c>
      <c r="B19" s="7" t="str">
        <f>HYPERLINK("https://twitter.com/lasizoillo","@lasizoillo")</f>
        <v>@lasizoillo</v>
      </c>
      <c r="C19" s="8" t="s">
        <v>139</v>
      </c>
      <c r="D19" s="9" t="s">
        <v>140</v>
      </c>
      <c r="E19" s="10" t="str">
        <f>HYPERLINK("https://twitter.com/lasizoillo/status/1065984715835011072","1065984715835011072")</f>
        <v>1065984715835011072</v>
      </c>
      <c r="F19" s="17" t="s">
        <v>142</v>
      </c>
      <c r="G19" s="11" t="s">
        <v>143</v>
      </c>
      <c r="H19" s="12"/>
      <c r="I19" s="13">
        <v>0</v>
      </c>
      <c r="J19" s="13">
        <v>0</v>
      </c>
      <c r="K19" s="14" t="str">
        <f t="shared" ref="K19:K20" si="3">HYPERLINK("http://twitter.com/download/android","Twitter for Android")</f>
        <v>Twitter for Android</v>
      </c>
      <c r="L19" s="13">
        <v>250</v>
      </c>
      <c r="M19" s="13">
        <v>296</v>
      </c>
      <c r="N19" s="13">
        <v>46</v>
      </c>
      <c r="O19" s="15"/>
      <c r="P19" s="6">
        <v>39834.489189814813</v>
      </c>
      <c r="Q19" s="17" t="s">
        <v>144</v>
      </c>
      <c r="R19" s="18" t="s">
        <v>145</v>
      </c>
      <c r="S19" s="11" t="s">
        <v>146</v>
      </c>
      <c r="T19" s="12"/>
      <c r="U19" s="10" t="str">
        <f>HYPERLINK("https://pbs.twimg.com/profile_images/3190080417/798ebe6724669a4071c31c55a4d85111.jpeg","View")</f>
        <v>View</v>
      </c>
    </row>
    <row r="20" spans="1:21" ht="30.6">
      <c r="A20" s="6">
        <v>43427.670312499999</v>
      </c>
      <c r="B20" s="7" t="str">
        <f>HYPERLINK("https://twitter.com/rmenchaca59","@rmenchaca59")</f>
        <v>@rmenchaca59</v>
      </c>
      <c r="C20" s="8" t="s">
        <v>147</v>
      </c>
      <c r="D20" s="9" t="s">
        <v>148</v>
      </c>
      <c r="E20" s="10" t="str">
        <f>HYPERLINK("https://twitter.com/rmenchaca59/status/1065984631575584768","1065984631575584768")</f>
        <v>1065984631575584768</v>
      </c>
      <c r="F20" s="12"/>
      <c r="G20" s="11" t="s">
        <v>150</v>
      </c>
      <c r="H20" s="12"/>
      <c r="I20" s="13">
        <v>1</v>
      </c>
      <c r="J20" s="13">
        <v>3</v>
      </c>
      <c r="K20" s="14" t="str">
        <f t="shared" si="3"/>
        <v>Twitter for Android</v>
      </c>
      <c r="L20" s="13">
        <v>150</v>
      </c>
      <c r="M20" s="13">
        <v>87</v>
      </c>
      <c r="N20" s="13">
        <v>5</v>
      </c>
      <c r="O20" s="15"/>
      <c r="P20" s="6">
        <v>43197.756284722222</v>
      </c>
      <c r="Q20" s="17" t="s">
        <v>40</v>
      </c>
      <c r="R20" s="18" t="s">
        <v>151</v>
      </c>
      <c r="S20" s="11" t="s">
        <v>152</v>
      </c>
      <c r="T20" s="12"/>
      <c r="U20" s="10" t="str">
        <f>HYPERLINK("https://pbs.twimg.com/profile_images/982654487239081985/u5LRyGMY.jpg","View")</f>
        <v>View</v>
      </c>
    </row>
    <row r="21" spans="1:21" ht="40.799999999999997">
      <c r="A21" s="6">
        <v>43427.67019675926</v>
      </c>
      <c r="B21" s="7" t="str">
        <f>HYPERLINK("https://twitter.com/prnoticias","@prnoticias")</f>
        <v>@prnoticias</v>
      </c>
      <c r="C21" s="8" t="s">
        <v>154</v>
      </c>
      <c r="D21" s="9" t="s">
        <v>155</v>
      </c>
      <c r="E21" s="10" t="str">
        <f>HYPERLINK("https://twitter.com/prnoticias/status/1065984588097482752","1065984588097482752")</f>
        <v>1065984588097482752</v>
      </c>
      <c r="F21" s="11" t="s">
        <v>156</v>
      </c>
      <c r="G21" s="11" t="s">
        <v>157</v>
      </c>
      <c r="H21" s="12"/>
      <c r="I21" s="13">
        <v>0</v>
      </c>
      <c r="J21" s="13">
        <v>0</v>
      </c>
      <c r="K21" s="14" t="str">
        <f>HYPERLINK("http://www.hootsuite.com","Hootsuite")</f>
        <v>Hootsuite</v>
      </c>
      <c r="L21" s="13">
        <v>77941</v>
      </c>
      <c r="M21" s="13">
        <v>1713</v>
      </c>
      <c r="N21" s="13">
        <v>4011</v>
      </c>
      <c r="O21" s="16" t="s">
        <v>26</v>
      </c>
      <c r="P21" s="6">
        <v>39903.574907407405</v>
      </c>
      <c r="Q21" s="17" t="s">
        <v>27</v>
      </c>
      <c r="R21" s="18" t="s">
        <v>159</v>
      </c>
      <c r="S21" s="11" t="s">
        <v>160</v>
      </c>
      <c r="T21" s="12"/>
      <c r="U21" s="10" t="str">
        <f>HYPERLINK("https://pbs.twimg.com/profile_images/881787674121646083/28sl70F7.jpg","View")</f>
        <v>View</v>
      </c>
    </row>
    <row r="22" spans="1:21" ht="30.6">
      <c r="A22" s="6">
        <v>43427.670011574075</v>
      </c>
      <c r="B22" s="7" t="str">
        <f>HYPERLINK("https://twitter.com/yoloxokotl","@yoloxokotl")</f>
        <v>@yoloxokotl</v>
      </c>
      <c r="C22" s="8" t="s">
        <v>161</v>
      </c>
      <c r="D22" s="9" t="s">
        <v>162</v>
      </c>
      <c r="E22" s="10" t="str">
        <f>HYPERLINK("https://twitter.com/yoloxokotl/status/1065984523081523201","1065984523081523201")</f>
        <v>1065984523081523201</v>
      </c>
      <c r="F22" s="11" t="s">
        <v>163</v>
      </c>
      <c r="G22" s="12"/>
      <c r="H22" s="12"/>
      <c r="I22" s="13">
        <v>0</v>
      </c>
      <c r="J22" s="13">
        <v>0</v>
      </c>
      <c r="K22" s="14" t="str">
        <f>HYPERLINK("http://twitter.com","Twitter Web Client")</f>
        <v>Twitter Web Client</v>
      </c>
      <c r="L22" s="13">
        <v>3230</v>
      </c>
      <c r="M22" s="13">
        <v>4901</v>
      </c>
      <c r="N22" s="13">
        <v>74</v>
      </c>
      <c r="O22" s="15"/>
      <c r="P22" s="6">
        <v>40293.197222222225</v>
      </c>
      <c r="Q22" s="12"/>
      <c r="R22" s="19"/>
      <c r="S22" s="11" t="s">
        <v>164</v>
      </c>
      <c r="T22" s="12"/>
      <c r="U22" s="10" t="str">
        <f>HYPERLINK("https://pbs.twimg.com/profile_images/1216835718/angelkitty_twitter.jpg","View")</f>
        <v>View</v>
      </c>
    </row>
    <row r="23" spans="1:21" ht="30.6">
      <c r="A23" s="6">
        <v>43427.66988425926</v>
      </c>
      <c r="B23" s="7" t="str">
        <f>HYPERLINK("https://twitter.com/CsSilleda","@CsSilleda")</f>
        <v>@CsSilleda</v>
      </c>
      <c r="C23" s="8" t="s">
        <v>165</v>
      </c>
      <c r="D23" s="9" t="s">
        <v>166</v>
      </c>
      <c r="E23" s="10" t="str">
        <f>HYPERLINK("https://twitter.com/CsSilleda/status/1065984476914884608","1065984476914884608")</f>
        <v>1065984476914884608</v>
      </c>
      <c r="F23" s="12"/>
      <c r="G23" s="11" t="s">
        <v>167</v>
      </c>
      <c r="H23" s="12"/>
      <c r="I23" s="13">
        <v>0</v>
      </c>
      <c r="J23" s="13">
        <v>0</v>
      </c>
      <c r="K23" s="14" t="str">
        <f>HYPERLINK("https://postcron.com","Postcron App")</f>
        <v>Postcron App</v>
      </c>
      <c r="L23" s="13">
        <v>86</v>
      </c>
      <c r="M23" s="13">
        <v>73</v>
      </c>
      <c r="N23" s="13">
        <v>0</v>
      </c>
      <c r="O23" s="15"/>
      <c r="P23" s="6">
        <v>43360.416168981479</v>
      </c>
      <c r="Q23" s="12"/>
      <c r="R23" s="18" t="s">
        <v>168</v>
      </c>
      <c r="S23" s="11" t="s">
        <v>169</v>
      </c>
      <c r="T23" s="12"/>
      <c r="U23" s="10" t="str">
        <f>HYPERLINK("https://pbs.twimg.com/profile_images/1041597713664692225/_c65gBn2.jpg","View")</f>
        <v>View</v>
      </c>
    </row>
    <row r="24" spans="1:21" ht="51">
      <c r="A24" s="6">
        <v>43427.669594907406</v>
      </c>
      <c r="B24" s="7" t="str">
        <f>HYPERLINK("https://twitter.com/yoanisanchez","@yoanisanchez")</f>
        <v>@yoanisanchez</v>
      </c>
      <c r="C24" s="8" t="s">
        <v>170</v>
      </c>
      <c r="D24" s="9" t="s">
        <v>171</v>
      </c>
      <c r="E24" s="10" t="str">
        <f>HYPERLINK("https://twitter.com/yoanisanchez/status/1065984368857030656","1065984368857030656")</f>
        <v>1065984368857030656</v>
      </c>
      <c r="F24" s="12"/>
      <c r="G24" s="11" t="s">
        <v>172</v>
      </c>
      <c r="H24" s="12"/>
      <c r="I24" s="13">
        <v>20</v>
      </c>
      <c r="J24" s="13">
        <v>14</v>
      </c>
      <c r="K24" s="14" t="str">
        <f t="shared" ref="K24:K26" si="4">HYPERLINK("http://twitter.com","Twitter Web Client")</f>
        <v>Twitter Web Client</v>
      </c>
      <c r="L24" s="13">
        <v>756016</v>
      </c>
      <c r="M24" s="13">
        <v>83952</v>
      </c>
      <c r="N24" s="13">
        <v>9394</v>
      </c>
      <c r="O24" s="16" t="s">
        <v>26</v>
      </c>
      <c r="P24" s="6">
        <v>39685.015219907407</v>
      </c>
      <c r="Q24" s="17" t="s">
        <v>40</v>
      </c>
      <c r="R24" s="18" t="s">
        <v>173</v>
      </c>
      <c r="S24" s="11" t="s">
        <v>174</v>
      </c>
      <c r="T24" s="12"/>
      <c r="U24" s="10" t="str">
        <f>HYPERLINK("https://pbs.twimg.com/profile_images/932259310108753920/LQ1YpmBM.jpg","View")</f>
        <v>View</v>
      </c>
    </row>
    <row r="25" spans="1:21" ht="40.799999999999997">
      <c r="A25" s="6">
        <v>43427.669560185182</v>
      </c>
      <c r="B25" s="7" t="str">
        <f>HYPERLINK("https://twitter.com/universalsevil1","@universalsevil1")</f>
        <v>@universalsevil1</v>
      </c>
      <c r="C25" s="8" t="s">
        <v>175</v>
      </c>
      <c r="D25" s="9" t="s">
        <v>176</v>
      </c>
      <c r="E25" s="10" t="str">
        <f>HYPERLINK("https://twitter.com/universalsevil1/status/1065984359335948291","1065984359335948291")</f>
        <v>1065984359335948291</v>
      </c>
      <c r="F25" s="12"/>
      <c r="G25" s="11" t="s">
        <v>178</v>
      </c>
      <c r="H25" s="12"/>
      <c r="I25" s="13">
        <v>2</v>
      </c>
      <c r="J25" s="13">
        <v>3</v>
      </c>
      <c r="K25" s="14" t="str">
        <f t="shared" si="4"/>
        <v>Twitter Web Client</v>
      </c>
      <c r="L25" s="13">
        <v>425</v>
      </c>
      <c r="M25" s="13">
        <v>695</v>
      </c>
      <c r="N25" s="13">
        <v>7</v>
      </c>
      <c r="O25" s="15"/>
      <c r="P25" s="6">
        <v>42373.857349537036</v>
      </c>
      <c r="Q25" s="12"/>
      <c r="R25" s="19"/>
      <c r="S25" s="12"/>
      <c r="T25" s="12"/>
      <c r="U25" s="10" t="str">
        <f>HYPERLINK("https://pbs.twimg.com/profile_images/990336265085177857/jUe7wYwz.jpg","View")</f>
        <v>View</v>
      </c>
    </row>
    <row r="26" spans="1:21" ht="30.6">
      <c r="A26" s="6">
        <v>43427.668807870374</v>
      </c>
      <c r="B26" s="7" t="str">
        <f>HYPERLINK("https://twitter.com/YagoOfficial1","@YagoOfficial1")</f>
        <v>@YagoOfficial1</v>
      </c>
      <c r="C26" s="8" t="s">
        <v>179</v>
      </c>
      <c r="D26" s="9" t="s">
        <v>180</v>
      </c>
      <c r="E26" s="10" t="str">
        <f>HYPERLINK("https://twitter.com/YagoOfficial1/status/1065984085884116995","1065984085884116995")</f>
        <v>1065984085884116995</v>
      </c>
      <c r="F26" s="12"/>
      <c r="G26" s="12"/>
      <c r="H26" s="12"/>
      <c r="I26" s="13">
        <v>0</v>
      </c>
      <c r="J26" s="13">
        <v>0</v>
      </c>
      <c r="K26" s="14" t="str">
        <f t="shared" si="4"/>
        <v>Twitter Web Client</v>
      </c>
      <c r="L26" s="13">
        <v>147</v>
      </c>
      <c r="M26" s="13">
        <v>528</v>
      </c>
      <c r="N26" s="13">
        <v>1</v>
      </c>
      <c r="O26" s="15"/>
      <c r="P26" s="6">
        <v>42484.500902777778</v>
      </c>
      <c r="Q26" s="12"/>
      <c r="R26" s="18" t="s">
        <v>181</v>
      </c>
      <c r="S26" s="11" t="s">
        <v>182</v>
      </c>
      <c r="T26" s="12"/>
      <c r="U26" s="10" t="str">
        <f>HYPERLINK("https://pbs.twimg.com/profile_images/1055393051689078784/TktV87O4.jpg","View")</f>
        <v>View</v>
      </c>
    </row>
    <row r="27" spans="1:21" ht="20.399999999999999">
      <c r="A27" s="6">
        <v>43427.668796296297</v>
      </c>
      <c r="B27" s="7" t="str">
        <f>HYPERLINK("https://twitter.com/YOSBANY","@YOSBANY")</f>
        <v>@YOSBANY</v>
      </c>
      <c r="C27" s="8" t="s">
        <v>183</v>
      </c>
      <c r="D27" s="9" t="s">
        <v>184</v>
      </c>
      <c r="E27" s="10" t="str">
        <f>HYPERLINK("https://twitter.com/YOSBANY/status/1065984079773007873","1065984079773007873")</f>
        <v>1065984079773007873</v>
      </c>
      <c r="F27" s="11" t="s">
        <v>185</v>
      </c>
      <c r="G27" s="12"/>
      <c r="H27" s="12"/>
      <c r="I27" s="13">
        <v>0</v>
      </c>
      <c r="J27" s="13">
        <v>0</v>
      </c>
      <c r="K27" s="14" t="str">
        <f>HYPERLINK("http://www.facebook.com/twitter","Facebook")</f>
        <v>Facebook</v>
      </c>
      <c r="L27" s="13">
        <v>225</v>
      </c>
      <c r="M27" s="13">
        <v>386</v>
      </c>
      <c r="N27" s="13">
        <v>2</v>
      </c>
      <c r="O27" s="15"/>
      <c r="P27" s="6">
        <v>39919.025324074071</v>
      </c>
      <c r="Q27" s="17" t="s">
        <v>127</v>
      </c>
      <c r="R27" s="18" t="s">
        <v>186</v>
      </c>
      <c r="S27" s="11" t="s">
        <v>187</v>
      </c>
      <c r="T27" s="12"/>
      <c r="U27" s="10" t="str">
        <f>HYPERLINK("https://pbs.twimg.com/profile_images/1737959937/yyy.jpg","View")</f>
        <v>View</v>
      </c>
    </row>
    <row r="28" spans="1:21" ht="40.799999999999997">
      <c r="A28" s="6">
        <v>43427.668761574074</v>
      </c>
      <c r="B28" s="7" t="str">
        <f>HYPERLINK("https://twitter.com/BernardodMiguel","@BernardodMiguel")</f>
        <v>@BernardodMiguel</v>
      </c>
      <c r="C28" s="8" t="s">
        <v>188</v>
      </c>
      <c r="D28" s="9" t="s">
        <v>189</v>
      </c>
      <c r="E28" s="10" t="str">
        <f>HYPERLINK("https://twitter.com/BernardodMiguel/status/1065984065956954112","1065984065956954112")</f>
        <v>1065984065956954112</v>
      </c>
      <c r="F28" s="11" t="s">
        <v>190</v>
      </c>
      <c r="G28" s="12"/>
      <c r="H28" s="12"/>
      <c r="I28" s="13">
        <v>6</v>
      </c>
      <c r="J28" s="13">
        <v>1</v>
      </c>
      <c r="K28" s="14" t="str">
        <f>HYPERLINK("http://twitter.com","Twitter Web Client")</f>
        <v>Twitter Web Client</v>
      </c>
      <c r="L28" s="13">
        <v>9998</v>
      </c>
      <c r="M28" s="13">
        <v>163</v>
      </c>
      <c r="N28" s="13">
        <v>464</v>
      </c>
      <c r="O28" s="15"/>
      <c r="P28" s="6">
        <v>41017.832245370373</v>
      </c>
      <c r="Q28" s="17" t="s">
        <v>192</v>
      </c>
      <c r="R28" s="18" t="s">
        <v>193</v>
      </c>
      <c r="S28" s="11" t="s">
        <v>194</v>
      </c>
      <c r="T28" s="12"/>
      <c r="U28" s="10" t="str">
        <f>HYPERLINK("https://pbs.twimg.com/profile_images/1024959789720371201/YkhMhZuk.jpg","View")</f>
        <v>View</v>
      </c>
    </row>
    <row r="29" spans="1:21" ht="40.799999999999997">
      <c r="A29" s="6">
        <v>43427.666319444441</v>
      </c>
      <c r="B29" s="7" t="str">
        <f>HYPERLINK("https://twitter.com/SantiagoLuxemb1","@SantiagoLuxemb1")</f>
        <v>@SantiagoLuxemb1</v>
      </c>
      <c r="C29" s="8" t="s">
        <v>195</v>
      </c>
      <c r="D29" s="9" t="s">
        <v>196</v>
      </c>
      <c r="E29" s="10" t="str">
        <f>HYPERLINK("https://twitter.com/SantiagoLuxemb1/status/1065983182871453696","1065983182871453696")</f>
        <v>1065983182871453696</v>
      </c>
      <c r="F29" s="12"/>
      <c r="G29" s="11" t="s">
        <v>197</v>
      </c>
      <c r="H29" s="12"/>
      <c r="I29" s="13">
        <v>0</v>
      </c>
      <c r="J29" s="13">
        <v>0</v>
      </c>
      <c r="K29" s="14" t="str">
        <f>HYPERLINK("http://twitter.com/download/android","Twitter for Android")</f>
        <v>Twitter for Android</v>
      </c>
      <c r="L29" s="13">
        <v>71</v>
      </c>
      <c r="M29" s="13">
        <v>391</v>
      </c>
      <c r="N29" s="13">
        <v>0</v>
      </c>
      <c r="O29" s="15"/>
      <c r="P29" s="6">
        <v>43400.303402777776</v>
      </c>
      <c r="Q29" s="12"/>
      <c r="R29" s="18" t="s">
        <v>198</v>
      </c>
      <c r="S29" s="12"/>
      <c r="T29" s="12"/>
      <c r="U29" s="10" t="str">
        <f>HYPERLINK("https://pbs.twimg.com/profile_images/1056052562850471936/ktgvYdZX.jpg","View")</f>
        <v>View</v>
      </c>
    </row>
    <row r="30" spans="1:21" ht="20.399999999999999">
      <c r="A30" s="6">
        <v>43427.666041666671</v>
      </c>
      <c r="B30" s="7" t="str">
        <f>HYPERLINK("https://twitter.com/PortalDiarioAR","@PortalDiarioAR")</f>
        <v>@PortalDiarioAR</v>
      </c>
      <c r="C30" s="8" t="s">
        <v>34</v>
      </c>
      <c r="D30" s="9" t="s">
        <v>199</v>
      </c>
      <c r="E30" s="10" t="str">
        <f>HYPERLINK("https://twitter.com/PortalDiarioAR/status/1065983080765124608","1065983080765124608")</f>
        <v>1065983080765124608</v>
      </c>
      <c r="F30" s="11" t="s">
        <v>200</v>
      </c>
      <c r="G30" s="11" t="s">
        <v>201</v>
      </c>
      <c r="H30" s="12"/>
      <c r="I30" s="13">
        <v>0</v>
      </c>
      <c r="J30" s="13">
        <v>0</v>
      </c>
      <c r="K30" s="14" t="str">
        <f>HYPERLINK("https://dlvrit.com/","dlvr.it")</f>
        <v>dlvr.it</v>
      </c>
      <c r="L30" s="13">
        <v>2129</v>
      </c>
      <c r="M30" s="13">
        <v>4</v>
      </c>
      <c r="N30" s="13">
        <v>59</v>
      </c>
      <c r="O30" s="15"/>
      <c r="P30" s="6">
        <v>40910.191840277781</v>
      </c>
      <c r="Q30" s="17" t="s">
        <v>36</v>
      </c>
      <c r="R30" s="18" t="s">
        <v>37</v>
      </c>
      <c r="S30" s="11" t="s">
        <v>38</v>
      </c>
      <c r="T30" s="12"/>
      <c r="U30" s="10" t="str">
        <f>HYPERLINK("https://pbs.twimg.com/profile_images/1001060315348586496/K3I7rPY5.jpg","View")</f>
        <v>View</v>
      </c>
    </row>
    <row r="31" spans="1:21" ht="13.2">
      <c r="A31" s="6">
        <v>43427.665266203709</v>
      </c>
      <c r="B31" s="7" t="str">
        <f>HYPERLINK("https://twitter.com/JesusRomeroLeon","@JesusRomeroLeon")</f>
        <v>@JesusRomeroLeon</v>
      </c>
      <c r="C31" s="8" t="s">
        <v>203</v>
      </c>
      <c r="D31" s="9" t="s">
        <v>204</v>
      </c>
      <c r="E31" s="10" t="str">
        <f>HYPERLINK("https://twitter.com/JesusRomeroLeon/status/1065982802691309568","1065982802691309568")</f>
        <v>1065982802691309568</v>
      </c>
      <c r="F31" s="11" t="s">
        <v>207</v>
      </c>
      <c r="G31" s="12"/>
      <c r="H31" s="12"/>
      <c r="I31" s="13">
        <v>0</v>
      </c>
      <c r="J31" s="13">
        <v>0</v>
      </c>
      <c r="K31" s="14" t="str">
        <f>HYPERLINK("http://twitter.com/download/android","Twitter for Android")</f>
        <v>Twitter for Android</v>
      </c>
      <c r="L31" s="13">
        <v>888</v>
      </c>
      <c r="M31" s="13">
        <v>908</v>
      </c>
      <c r="N31" s="13">
        <v>56</v>
      </c>
      <c r="O31" s="15"/>
      <c r="P31" s="6">
        <v>40074.800462962965</v>
      </c>
      <c r="Q31" s="17" t="s">
        <v>210</v>
      </c>
      <c r="R31" s="18" t="s">
        <v>211</v>
      </c>
      <c r="S31" s="12"/>
      <c r="T31" s="12"/>
      <c r="U31" s="10" t="str">
        <f>HYPERLINK("https://pbs.twimg.com/profile_images/1048511285464387584/35I-j85n.jpg","View")</f>
        <v>View</v>
      </c>
    </row>
    <row r="32" spans="1:21" ht="102">
      <c r="A32" s="6">
        <v>43427.665196759262</v>
      </c>
      <c r="B32" s="7" t="str">
        <f>HYPERLINK("https://twitter.com/Embacuba12Eslov","@Embacuba12Eslov")</f>
        <v>@Embacuba12Eslov</v>
      </c>
      <c r="C32" s="8" t="s">
        <v>213</v>
      </c>
      <c r="D32" s="9" t="s">
        <v>214</v>
      </c>
      <c r="E32" s="10" t="str">
        <f>HYPERLINK("https://twitter.com/Embacuba12Eslov/status/1065982778200727552","1065982778200727552")</f>
        <v>1065982778200727552</v>
      </c>
      <c r="F32" s="11" t="s">
        <v>215</v>
      </c>
      <c r="G32" s="12"/>
      <c r="H32" s="12"/>
      <c r="I32" s="13">
        <v>0</v>
      </c>
      <c r="J32" s="13">
        <v>0</v>
      </c>
      <c r="K32" s="14" t="str">
        <f>HYPERLINK("https://mobile.twitter.com","Twitter Lite")</f>
        <v>Twitter Lite</v>
      </c>
      <c r="L32" s="13">
        <v>1252</v>
      </c>
      <c r="M32" s="13">
        <v>992</v>
      </c>
      <c r="N32" s="13">
        <v>8</v>
      </c>
      <c r="O32" s="15"/>
      <c r="P32" s="6">
        <v>42740.501886574071</v>
      </c>
      <c r="Q32" s="17" t="s">
        <v>216</v>
      </c>
      <c r="R32" s="18" t="s">
        <v>217</v>
      </c>
      <c r="S32" s="12"/>
      <c r="T32" s="12"/>
      <c r="U32" s="10" t="str">
        <f>HYPERLINK("https://pbs.twimg.com/profile_images/875034328580927490/9uI8hEr_.jpg","View")</f>
        <v>View</v>
      </c>
    </row>
    <row r="33" spans="1:21" ht="20.399999999999999">
      <c r="A33" s="6">
        <v>43427.664930555555</v>
      </c>
      <c r="B33" s="7" t="str">
        <f>HYPERLINK("https://twitter.com/DespertardeOax","@DespertardeOax")</f>
        <v>@DespertardeOax</v>
      </c>
      <c r="C33" s="8" t="s">
        <v>218</v>
      </c>
      <c r="D33" s="9" t="s">
        <v>219</v>
      </c>
      <c r="E33" s="10" t="str">
        <f>HYPERLINK("https://twitter.com/DespertardeOax/status/1065982681220030465","1065982681220030465")</f>
        <v>1065982681220030465</v>
      </c>
      <c r="F33" s="11" t="s">
        <v>220</v>
      </c>
      <c r="G33" s="12"/>
      <c r="H33" s="12"/>
      <c r="I33" s="13">
        <v>0</v>
      </c>
      <c r="J33" s="13">
        <v>0</v>
      </c>
      <c r="K33" s="14" t="str">
        <f>HYPERLINK("https://ifttt.com","IFTTT")</f>
        <v>IFTTT</v>
      </c>
      <c r="L33" s="13">
        <v>14444</v>
      </c>
      <c r="M33" s="13">
        <v>100</v>
      </c>
      <c r="N33" s="13">
        <v>91</v>
      </c>
      <c r="O33" s="15"/>
      <c r="P33" s="6">
        <v>40864.78875</v>
      </c>
      <c r="Q33" s="17" t="s">
        <v>221</v>
      </c>
      <c r="R33" s="18" t="s">
        <v>222</v>
      </c>
      <c r="S33" s="11" t="s">
        <v>223</v>
      </c>
      <c r="T33" s="12"/>
      <c r="U33" s="10" t="str">
        <f>HYPERLINK("https://pbs.twimg.com/profile_images/996976667812773889/0o1rOw_E.jpg","View")</f>
        <v>View</v>
      </c>
    </row>
    <row r="34" spans="1:21" ht="30.6">
      <c r="A34" s="6">
        <v>43427.664270833338</v>
      </c>
      <c r="B34" s="7" t="str">
        <f>HYPERLINK("https://twitter.com/gelanbolo","@gelanbolo")</f>
        <v>@gelanbolo</v>
      </c>
      <c r="C34" s="8" t="s">
        <v>60</v>
      </c>
      <c r="D34" s="9" t="s">
        <v>224</v>
      </c>
      <c r="E34" s="10" t="str">
        <f>HYPERLINK("https://twitter.com/gelanbolo/status/1065982440966168576","1065982440966168576")</f>
        <v>1065982440966168576</v>
      </c>
      <c r="F34" s="12"/>
      <c r="G34" s="12"/>
      <c r="H34" s="12"/>
      <c r="I34" s="13">
        <v>0</v>
      </c>
      <c r="J34" s="13">
        <v>4</v>
      </c>
      <c r="K34" s="14" t="str">
        <f>HYPERLINK("http://twitter.com/download/android","Twitter for Android")</f>
        <v>Twitter for Android</v>
      </c>
      <c r="L34" s="13">
        <v>272</v>
      </c>
      <c r="M34" s="13">
        <v>279</v>
      </c>
      <c r="N34" s="13">
        <v>0</v>
      </c>
      <c r="O34" s="15"/>
      <c r="P34" s="6">
        <v>43363.662499999999</v>
      </c>
      <c r="Q34" s="12"/>
      <c r="R34" s="18" t="s">
        <v>62</v>
      </c>
      <c r="S34" s="12"/>
      <c r="T34" s="12"/>
      <c r="U34" s="10" t="str">
        <f>HYPERLINK("https://pbs.twimg.com/profile_images/1042774101516009478/H0plMDfi.jpg","View")</f>
        <v>View</v>
      </c>
    </row>
    <row r="35" spans="1:21" ht="20.399999999999999">
      <c r="A35" s="6">
        <v>43427.662847222222</v>
      </c>
      <c r="B35" s="7" t="str">
        <f>HYPERLINK("https://twitter.com/Grupo_Matienzo","@Grupo_Matienzo")</f>
        <v>@Grupo_Matienzo</v>
      </c>
      <c r="C35" s="8" t="s">
        <v>226</v>
      </c>
      <c r="D35" s="9" t="s">
        <v>227</v>
      </c>
      <c r="E35" s="10" t="str">
        <f>HYPERLINK("https://twitter.com/Grupo_Matienzo/status/1065981924051755008","1065981924051755008")</f>
        <v>1065981924051755008</v>
      </c>
      <c r="F35" s="11" t="s">
        <v>228</v>
      </c>
      <c r="G35" s="12"/>
      <c r="H35" s="12"/>
      <c r="I35" s="13">
        <v>0</v>
      </c>
      <c r="J35" s="13">
        <v>0</v>
      </c>
      <c r="K35" s="14" t="str">
        <f t="shared" ref="K35:K37" si="5">HYPERLINK("http://twitter.com","Twitter Web Client")</f>
        <v>Twitter Web Client</v>
      </c>
      <c r="L35" s="13">
        <v>409</v>
      </c>
      <c r="M35" s="13">
        <v>2052</v>
      </c>
      <c r="N35" s="13">
        <v>10</v>
      </c>
      <c r="O35" s="15"/>
      <c r="P35" s="6">
        <v>41177.791747685187</v>
      </c>
      <c r="Q35" s="17" t="s">
        <v>229</v>
      </c>
      <c r="R35" s="18" t="s">
        <v>230</v>
      </c>
      <c r="S35" s="11" t="s">
        <v>231</v>
      </c>
      <c r="T35" s="12"/>
      <c r="U35" s="10" t="str">
        <f>HYPERLINK("https://pbs.twimg.com/profile_images/870222821179437056/hMKotLfM.jpg","View")</f>
        <v>View</v>
      </c>
    </row>
    <row r="36" spans="1:21" ht="20.399999999999999">
      <c r="A36" s="6">
        <v>43427.662141203706</v>
      </c>
      <c r="B36" s="7" t="str">
        <f>HYPERLINK("https://twitter.com/yoloxokotl","@yoloxokotl")</f>
        <v>@yoloxokotl</v>
      </c>
      <c r="C36" s="8" t="s">
        <v>161</v>
      </c>
      <c r="D36" s="9" t="s">
        <v>232</v>
      </c>
      <c r="E36" s="10" t="str">
        <f>HYPERLINK("https://twitter.com/yoloxokotl/status/1065981669767897088","1065981669767897088")</f>
        <v>1065981669767897088</v>
      </c>
      <c r="F36" s="11" t="s">
        <v>233</v>
      </c>
      <c r="G36" s="12"/>
      <c r="H36" s="12"/>
      <c r="I36" s="13">
        <v>0</v>
      </c>
      <c r="J36" s="13">
        <v>0</v>
      </c>
      <c r="K36" s="14" t="str">
        <f t="shared" si="5"/>
        <v>Twitter Web Client</v>
      </c>
      <c r="L36" s="13">
        <v>3230</v>
      </c>
      <c r="M36" s="13">
        <v>4901</v>
      </c>
      <c r="N36" s="13">
        <v>74</v>
      </c>
      <c r="O36" s="15"/>
      <c r="P36" s="6">
        <v>40293.197222222225</v>
      </c>
      <c r="Q36" s="12"/>
      <c r="R36" s="19"/>
      <c r="S36" s="11" t="s">
        <v>164</v>
      </c>
      <c r="T36" s="12"/>
      <c r="U36" s="10" t="str">
        <f>HYPERLINK("https://pbs.twimg.com/profile_images/1216835718/angelkitty_twitter.jpg","View")</f>
        <v>View</v>
      </c>
    </row>
    <row r="37" spans="1:21" ht="51">
      <c r="A37" s="6">
        <v>43427.662118055552</v>
      </c>
      <c r="B37" s="7" t="str">
        <f>HYPERLINK("https://twitter.com/PoliAnaco","@PoliAnaco")</f>
        <v>@PoliAnaco</v>
      </c>
      <c r="C37" s="8" t="s">
        <v>238</v>
      </c>
      <c r="D37" s="9" t="s">
        <v>241</v>
      </c>
      <c r="E37" s="10" t="str">
        <f>HYPERLINK("https://twitter.com/PoliAnaco/status/1065981658556493824","1065981658556493824")</f>
        <v>1065981658556493824</v>
      </c>
      <c r="F37" s="12"/>
      <c r="G37" s="12"/>
      <c r="H37" s="12"/>
      <c r="I37" s="13">
        <v>0</v>
      </c>
      <c r="J37" s="13">
        <v>1</v>
      </c>
      <c r="K37" s="14" t="str">
        <f t="shared" si="5"/>
        <v>Twitter Web Client</v>
      </c>
      <c r="L37" s="13">
        <v>1423</v>
      </c>
      <c r="M37" s="13">
        <v>441</v>
      </c>
      <c r="N37" s="13">
        <v>1</v>
      </c>
      <c r="O37" s="15"/>
      <c r="P37" s="6">
        <v>41012.631481481483</v>
      </c>
      <c r="Q37" s="17" t="s">
        <v>243</v>
      </c>
      <c r="R37" s="18" t="s">
        <v>244</v>
      </c>
      <c r="S37" s="12"/>
      <c r="T37" s="12"/>
      <c r="U37" s="10" t="str">
        <f>HYPERLINK("https://pbs.twimg.com/profile_images/1036448030881394689/HPEAC2Xn.jpg","View")</f>
        <v>View</v>
      </c>
    </row>
    <row r="38" spans="1:21" ht="51">
      <c r="A38" s="6">
        <v>43427.662083333329</v>
      </c>
      <c r="B38" s="7" t="str">
        <f>HYPERLINK("https://twitter.com/MiguelASnchez","@MiguelASnchez")</f>
        <v>@MiguelASnchez</v>
      </c>
      <c r="C38" s="8" t="s">
        <v>245</v>
      </c>
      <c r="D38" s="9" t="s">
        <v>246</v>
      </c>
      <c r="E38" s="10" t="str">
        <f>HYPERLINK("https://twitter.com/MiguelASnchez/status/1065981646686572545","1065981646686572545")</f>
        <v>1065981646686572545</v>
      </c>
      <c r="F38" s="12"/>
      <c r="G38" s="12"/>
      <c r="H38" s="12"/>
      <c r="I38" s="13">
        <v>0</v>
      </c>
      <c r="J38" s="13">
        <v>0</v>
      </c>
      <c r="K38" s="14" t="str">
        <f>HYPERLINK("http://twitter.com/download/android","Twitter for Android")</f>
        <v>Twitter for Android</v>
      </c>
      <c r="L38" s="13">
        <v>1364</v>
      </c>
      <c r="M38" s="13">
        <v>1276</v>
      </c>
      <c r="N38" s="13">
        <v>8</v>
      </c>
      <c r="O38" s="15"/>
      <c r="P38" s="6">
        <v>40901.566550925927</v>
      </c>
      <c r="Q38" s="17" t="s">
        <v>247</v>
      </c>
      <c r="R38" s="18" t="s">
        <v>248</v>
      </c>
      <c r="S38" s="12"/>
      <c r="T38" s="12"/>
      <c r="U38" s="10" t="str">
        <f>HYPERLINK("https://pbs.twimg.com/profile_images/1039255875653959680/VHcfMGoe.jpg","View")</f>
        <v>View</v>
      </c>
    </row>
    <row r="39" spans="1:21" ht="40.799999999999997">
      <c r="A39" s="6">
        <v>43427.66034722222</v>
      </c>
      <c r="B39" s="7" t="str">
        <f>HYPERLINK("https://twitter.com/tio_chabo","@tio_chabo")</f>
        <v>@tio_chabo</v>
      </c>
      <c r="C39" s="8" t="s">
        <v>249</v>
      </c>
      <c r="D39" s="9" t="s">
        <v>250</v>
      </c>
      <c r="E39" s="10" t="str">
        <f>HYPERLINK("https://twitter.com/tio_chabo/status/1065981018308558848","1065981018308558848")</f>
        <v>1065981018308558848</v>
      </c>
      <c r="F39" s="11" t="s">
        <v>251</v>
      </c>
      <c r="G39" s="12"/>
      <c r="H39" s="12"/>
      <c r="I39" s="13">
        <v>0</v>
      </c>
      <c r="J39" s="13">
        <v>0</v>
      </c>
      <c r="K39" s="14" t="str">
        <f>HYPERLINK("https://ifttt.com","IFTTT")</f>
        <v>IFTTT</v>
      </c>
      <c r="L39" s="13">
        <v>3113</v>
      </c>
      <c r="M39" s="13">
        <v>3718</v>
      </c>
      <c r="N39" s="13">
        <v>68</v>
      </c>
      <c r="O39" s="15"/>
      <c r="P39" s="6">
        <v>40964.769629629627</v>
      </c>
      <c r="Q39" s="17" t="s">
        <v>252</v>
      </c>
      <c r="R39" s="18" t="s">
        <v>253</v>
      </c>
      <c r="S39" s="11" t="s">
        <v>254</v>
      </c>
      <c r="T39" s="12"/>
      <c r="U39" s="10" t="str">
        <f>HYPERLINK("https://pbs.twimg.com/profile_images/837040061870833666/XUkKbbB4.jpg","View")</f>
        <v>View</v>
      </c>
    </row>
    <row r="40" spans="1:21" ht="40.799999999999997">
      <c r="A40" s="6">
        <v>43427.660150462965</v>
      </c>
      <c r="B40" s="7" t="str">
        <f>HYPERLINK("https://twitter.com/ancabocristiano","@ancabocristiano")</f>
        <v>@ancabocristiano</v>
      </c>
      <c r="C40" s="8" t="s">
        <v>255</v>
      </c>
      <c r="D40" s="9" t="s">
        <v>256</v>
      </c>
      <c r="E40" s="10" t="str">
        <f>HYPERLINK("https://twitter.com/ancabocristiano/status/1065980945784819712","1065980945784819712")</f>
        <v>1065980945784819712</v>
      </c>
      <c r="F40" s="11" t="s">
        <v>259</v>
      </c>
      <c r="G40" s="12"/>
      <c r="H40" s="12"/>
      <c r="I40" s="13">
        <v>0</v>
      </c>
      <c r="J40" s="13">
        <v>0</v>
      </c>
      <c r="K40" s="14" t="str">
        <f t="shared" ref="K40:K42" si="6">HYPERLINK("http://twitter.com","Twitter Web Client")</f>
        <v>Twitter Web Client</v>
      </c>
      <c r="L40" s="13">
        <v>725</v>
      </c>
      <c r="M40" s="13">
        <v>1174</v>
      </c>
      <c r="N40" s="13">
        <v>17</v>
      </c>
      <c r="O40" s="15"/>
      <c r="P40" s="6">
        <v>40589.012638888889</v>
      </c>
      <c r="Q40" s="17" t="s">
        <v>262</v>
      </c>
      <c r="R40" s="18" t="s">
        <v>263</v>
      </c>
      <c r="S40" s="12"/>
      <c r="T40" s="12"/>
      <c r="U40" s="10" t="str">
        <f>HYPERLINK("https://pbs.twimg.com/profile_images/1498277119/Antonio_Twiter.JPG","View")</f>
        <v>View</v>
      </c>
    </row>
    <row r="41" spans="1:21" ht="20.399999999999999">
      <c r="A41" s="6">
        <v>43427.659583333334</v>
      </c>
      <c r="B41" s="7" t="str">
        <f>HYPERLINK("https://twitter.com/blasco_pepe","@blasco_pepe")</f>
        <v>@blasco_pepe</v>
      </c>
      <c r="C41" s="8" t="s">
        <v>265</v>
      </c>
      <c r="D41" s="9" t="s">
        <v>267</v>
      </c>
      <c r="E41" s="10" t="str">
        <f>HYPERLINK("https://twitter.com/blasco_pepe/status/1065980743845928961","1065980743845928961")</f>
        <v>1065980743845928961</v>
      </c>
      <c r="F41" s="11" t="s">
        <v>269</v>
      </c>
      <c r="G41" s="12"/>
      <c r="H41" s="12"/>
      <c r="I41" s="13">
        <v>0</v>
      </c>
      <c r="J41" s="13">
        <v>0</v>
      </c>
      <c r="K41" s="14" t="str">
        <f t="shared" si="6"/>
        <v>Twitter Web Client</v>
      </c>
      <c r="L41" s="13">
        <v>1603</v>
      </c>
      <c r="M41" s="13">
        <v>2181</v>
      </c>
      <c r="N41" s="13">
        <v>38</v>
      </c>
      <c r="O41" s="15"/>
      <c r="P41" s="6">
        <v>40681.549479166664</v>
      </c>
      <c r="Q41" s="17" t="s">
        <v>270</v>
      </c>
      <c r="R41" s="18" t="s">
        <v>271</v>
      </c>
      <c r="S41" s="12"/>
      <c r="T41" s="12"/>
      <c r="U41" s="10" t="str">
        <f>HYPERLINK("https://pbs.twimg.com/profile_images/922599355898613762/OobumNpQ.jpg","View")</f>
        <v>View</v>
      </c>
    </row>
    <row r="42" spans="1:21" ht="30.6">
      <c r="A42" s="6">
        <v>43427.65924768518</v>
      </c>
      <c r="B42" s="7" t="str">
        <f>HYPERLINK("https://twitter.com/ss_shaunl","@ss_shaunl")</f>
        <v>@ss_shaunl</v>
      </c>
      <c r="C42" s="8" t="s">
        <v>273</v>
      </c>
      <c r="D42" s="9" t="s">
        <v>274</v>
      </c>
      <c r="E42" s="10" t="str">
        <f>HYPERLINK("https://twitter.com/ss_shaunl/status/1065980618650124289","1065980618650124289")</f>
        <v>1065980618650124289</v>
      </c>
      <c r="F42" s="11" t="s">
        <v>275</v>
      </c>
      <c r="G42" s="12"/>
      <c r="H42" s="12"/>
      <c r="I42" s="13">
        <v>0</v>
      </c>
      <c r="J42" s="13">
        <v>0</v>
      </c>
      <c r="K42" s="14" t="str">
        <f t="shared" si="6"/>
        <v>Twitter Web Client</v>
      </c>
      <c r="L42" s="13">
        <v>701</v>
      </c>
      <c r="M42" s="13">
        <v>2154</v>
      </c>
      <c r="N42" s="13">
        <v>0</v>
      </c>
      <c r="O42" s="15"/>
      <c r="P42" s="6">
        <v>41875.567847222221</v>
      </c>
      <c r="Q42" s="17" t="s">
        <v>277</v>
      </c>
      <c r="R42" s="18" t="s">
        <v>279</v>
      </c>
      <c r="S42" s="12"/>
      <c r="T42" s="12"/>
      <c r="U42" s="10" t="str">
        <f>HYPERLINK("https://pbs.twimg.com/profile_images/946087689601810433/u1ntUDXf.jpg","View")</f>
        <v>View</v>
      </c>
    </row>
    <row r="43" spans="1:21" ht="51">
      <c r="A43" s="6">
        <v>43427.659131944441</v>
      </c>
      <c r="B43" s="7" t="str">
        <f>HYPERLINK("https://twitter.com/noaourense","@noaourense")</f>
        <v>@noaourense</v>
      </c>
      <c r="C43" s="8" t="s">
        <v>280</v>
      </c>
      <c r="D43" s="9" t="s">
        <v>281</v>
      </c>
      <c r="E43" s="10" t="str">
        <f>HYPERLINK("https://twitter.com/noaourense/status/1065980580075057158","1065980580075057158")</f>
        <v>1065980580075057158</v>
      </c>
      <c r="F43" s="12"/>
      <c r="G43" s="12"/>
      <c r="H43" s="12"/>
      <c r="I43" s="13">
        <v>2</v>
      </c>
      <c r="J43" s="13">
        <v>3</v>
      </c>
      <c r="K43" s="14" t="str">
        <f t="shared" ref="K43:K45" si="7">HYPERLINK("http://twitter.com/download/android","Twitter for Android")</f>
        <v>Twitter for Android</v>
      </c>
      <c r="L43" s="13">
        <v>3470</v>
      </c>
      <c r="M43" s="13">
        <v>1557</v>
      </c>
      <c r="N43" s="13">
        <v>43</v>
      </c>
      <c r="O43" s="15"/>
      <c r="P43" s="6">
        <v>40817.620069444441</v>
      </c>
      <c r="Q43" s="17" t="s">
        <v>283</v>
      </c>
      <c r="R43" s="18" t="s">
        <v>284</v>
      </c>
      <c r="S43" s="12"/>
      <c r="T43" s="12"/>
      <c r="U43" s="10" t="str">
        <f>HYPERLINK("https://pbs.twimg.com/profile_images/1024699518120591360/28kefaPY.jpg","View")</f>
        <v>View</v>
      </c>
    </row>
    <row r="44" spans="1:21" ht="30.6">
      <c r="A44" s="6">
        <v>43427.658888888887</v>
      </c>
      <c r="B44" s="7" t="str">
        <f>HYPERLINK("https://twitter.com/rmenchaca59","@rmenchaca59")</f>
        <v>@rmenchaca59</v>
      </c>
      <c r="C44" s="8" t="s">
        <v>147</v>
      </c>
      <c r="D44" s="9" t="s">
        <v>285</v>
      </c>
      <c r="E44" s="10" t="str">
        <f>HYPERLINK("https://twitter.com/rmenchaca59/status/1065980492124745728","1065980492124745728")</f>
        <v>1065980492124745728</v>
      </c>
      <c r="F44" s="12"/>
      <c r="G44" s="11" t="s">
        <v>286</v>
      </c>
      <c r="H44" s="12"/>
      <c r="I44" s="13">
        <v>0</v>
      </c>
      <c r="J44" s="13">
        <v>1</v>
      </c>
      <c r="K44" s="14" t="str">
        <f t="shared" si="7"/>
        <v>Twitter for Android</v>
      </c>
      <c r="L44" s="13">
        <v>150</v>
      </c>
      <c r="M44" s="13">
        <v>87</v>
      </c>
      <c r="N44" s="13">
        <v>5</v>
      </c>
      <c r="O44" s="15"/>
      <c r="P44" s="6">
        <v>43197.756284722222</v>
      </c>
      <c r="Q44" s="17" t="s">
        <v>40</v>
      </c>
      <c r="R44" s="18" t="s">
        <v>151</v>
      </c>
      <c r="S44" s="11" t="s">
        <v>152</v>
      </c>
      <c r="T44" s="12"/>
      <c r="U44" s="10" t="str">
        <f>HYPERLINK("https://pbs.twimg.com/profile_images/982654487239081985/u5LRyGMY.jpg","View")</f>
        <v>View</v>
      </c>
    </row>
    <row r="45" spans="1:21" ht="30.6">
      <c r="A45" s="6">
        <v>43427.658726851849</v>
      </c>
      <c r="B45" s="7" t="str">
        <f>HYPERLINK("https://twitter.com/MarisaVargas_R","@MarisaVargas_R")</f>
        <v>@MarisaVargas_R</v>
      </c>
      <c r="C45" s="8" t="s">
        <v>82</v>
      </c>
      <c r="D45" s="9" t="s">
        <v>287</v>
      </c>
      <c r="E45" s="10" t="str">
        <f>HYPERLINK("https://twitter.com/MarisaVargas_R/status/1065980432708190208","1065980432708190208")</f>
        <v>1065980432708190208</v>
      </c>
      <c r="F45" s="11" t="s">
        <v>288</v>
      </c>
      <c r="G45" s="12"/>
      <c r="H45" s="12"/>
      <c r="I45" s="13">
        <v>1</v>
      </c>
      <c r="J45" s="13">
        <v>0</v>
      </c>
      <c r="K45" s="14" t="str">
        <f t="shared" si="7"/>
        <v>Twitter for Android</v>
      </c>
      <c r="L45" s="13">
        <v>9387</v>
      </c>
      <c r="M45" s="13">
        <v>9193</v>
      </c>
      <c r="N45" s="13">
        <v>159</v>
      </c>
      <c r="O45" s="15"/>
      <c r="P45" s="6">
        <v>40624.802627314813</v>
      </c>
      <c r="Q45" s="17" t="s">
        <v>85</v>
      </c>
      <c r="R45" s="18" t="s">
        <v>86</v>
      </c>
      <c r="S45" s="12"/>
      <c r="T45" s="12"/>
      <c r="U45" s="10" t="str">
        <f>HYPERLINK("https://pbs.twimg.com/profile_images/789471807682256896/cuEOEHIr.jpg","View")</f>
        <v>View</v>
      </c>
    </row>
    <row r="46" spans="1:21" ht="20.399999999999999">
      <c r="A46" s="6">
        <v>43427.658645833333</v>
      </c>
      <c r="B46" s="7" t="str">
        <f>HYPERLINK("https://twitter.com/la_kuatro","@la_kuatro")</f>
        <v>@la_kuatro</v>
      </c>
      <c r="C46" s="8" t="s">
        <v>291</v>
      </c>
      <c r="D46" s="9" t="s">
        <v>292</v>
      </c>
      <c r="E46" s="10" t="str">
        <f>HYPERLINK("https://twitter.com/la_kuatro/status/1065980400386957313","1065980400386957313")</f>
        <v>1065980400386957313</v>
      </c>
      <c r="F46" s="11" t="s">
        <v>293</v>
      </c>
      <c r="G46" s="12"/>
      <c r="H46" s="12"/>
      <c r="I46" s="13">
        <v>0</v>
      </c>
      <c r="J46" s="13">
        <v>0</v>
      </c>
      <c r="K46" s="14" t="str">
        <f>HYPERLINK("http://twitter.com","Twitter Web Client")</f>
        <v>Twitter Web Client</v>
      </c>
      <c r="L46" s="13">
        <v>1318</v>
      </c>
      <c r="M46" s="13">
        <v>1300</v>
      </c>
      <c r="N46" s="13">
        <v>12</v>
      </c>
      <c r="O46" s="15"/>
      <c r="P46" s="6">
        <v>40459.709456018521</v>
      </c>
      <c r="Q46" s="17" t="s">
        <v>294</v>
      </c>
      <c r="R46" s="18" t="s">
        <v>295</v>
      </c>
      <c r="S46" s="11" t="s">
        <v>296</v>
      </c>
      <c r="T46" s="12"/>
      <c r="U46" s="10" t="str">
        <f>HYPERLINK("https://pbs.twimg.com/profile_images/673616587614629888/RxbCGAN8.png","View")</f>
        <v>View</v>
      </c>
    </row>
    <row r="47" spans="1:21" ht="20.399999999999999">
      <c r="A47" s="6">
        <v>43427.65834490741</v>
      </c>
      <c r="B47" s="7" t="str">
        <f>HYPERLINK("https://twitter.com/EP_Mundo","@EP_Mundo")</f>
        <v>@EP_Mundo</v>
      </c>
      <c r="C47" s="8" t="s">
        <v>298</v>
      </c>
      <c r="D47" s="9" t="s">
        <v>299</v>
      </c>
      <c r="E47" s="10" t="str">
        <f>HYPERLINK("https://twitter.com/EP_Mundo/status/1065980293016899584","1065980293016899584")</f>
        <v>1065980293016899584</v>
      </c>
      <c r="F47" s="11" t="s">
        <v>99</v>
      </c>
      <c r="G47" s="11" t="s">
        <v>301</v>
      </c>
      <c r="H47" s="12"/>
      <c r="I47" s="13">
        <v>0</v>
      </c>
      <c r="J47" s="13">
        <v>0</v>
      </c>
      <c r="K47" s="14" t="str">
        <f>HYPERLINK("http://epmundo.com","Tuiteo TOP EP (2)")</f>
        <v>Tuiteo TOP EP (2)</v>
      </c>
      <c r="L47" s="13">
        <v>510632</v>
      </c>
      <c r="M47" s="13">
        <v>302207</v>
      </c>
      <c r="N47" s="13">
        <v>1367</v>
      </c>
      <c r="O47" s="15"/>
      <c r="P47" s="6">
        <v>40203.223078703704</v>
      </c>
      <c r="Q47" s="12"/>
      <c r="R47" s="18" t="s">
        <v>303</v>
      </c>
      <c r="S47" s="11" t="s">
        <v>304</v>
      </c>
      <c r="T47" s="12"/>
      <c r="U47" s="10" t="str">
        <f>HYPERLINK("https://pbs.twimg.com/profile_images/958329583778099200/87-xiuzB.jpg","View")</f>
        <v>View</v>
      </c>
    </row>
    <row r="48" spans="1:21" ht="20.399999999999999">
      <c r="A48" s="6">
        <v>43427.65824074074</v>
      </c>
      <c r="B48" s="7" t="str">
        <f>HYPERLINK("https://twitter.com/manufa1955","@manufa1955")</f>
        <v>@manufa1955</v>
      </c>
      <c r="C48" s="8" t="s">
        <v>306</v>
      </c>
      <c r="D48" s="9" t="s">
        <v>307</v>
      </c>
      <c r="E48" s="10" t="str">
        <f>HYPERLINK("https://twitter.com/manufa1955/status/1065980254458654720","1065980254458654720")</f>
        <v>1065980254458654720</v>
      </c>
      <c r="F48" s="11" t="s">
        <v>310</v>
      </c>
      <c r="G48" s="12"/>
      <c r="H48" s="12"/>
      <c r="I48" s="13">
        <v>0</v>
      </c>
      <c r="J48" s="13">
        <v>0</v>
      </c>
      <c r="K48" s="14" t="str">
        <f>HYPERLINK("http://www.facebook.com/twitter","Facebook")</f>
        <v>Facebook</v>
      </c>
      <c r="L48" s="13">
        <v>176</v>
      </c>
      <c r="M48" s="13">
        <v>48</v>
      </c>
      <c r="N48" s="13">
        <v>6</v>
      </c>
      <c r="O48" s="15"/>
      <c r="P48" s="6">
        <v>40460.974108796298</v>
      </c>
      <c r="Q48" s="17" t="s">
        <v>311</v>
      </c>
      <c r="R48" s="19"/>
      <c r="S48" s="11" t="s">
        <v>312</v>
      </c>
      <c r="T48" s="12"/>
      <c r="U48" s="10" t="str">
        <f>HYPERLINK("https://pbs.twimg.com/profile_images/3556471273/b12f18f17841bf308162a9bc287448d3.jpeg","View")</f>
        <v>View</v>
      </c>
    </row>
    <row r="49" spans="1:21" ht="30.6">
      <c r="A49" s="6">
        <v>43427.657650462963</v>
      </c>
      <c r="B49" s="7" t="str">
        <f>HYPERLINK("https://twitter.com/MarisaVargas_R","@MarisaVargas_R")</f>
        <v>@MarisaVargas_R</v>
      </c>
      <c r="C49" s="8" t="s">
        <v>82</v>
      </c>
      <c r="D49" s="9" t="s">
        <v>316</v>
      </c>
      <c r="E49" s="10" t="str">
        <f>HYPERLINK("https://twitter.com/MarisaVargas_R/status/1065980039517347841","1065980039517347841")</f>
        <v>1065980039517347841</v>
      </c>
      <c r="F49" s="11" t="s">
        <v>317</v>
      </c>
      <c r="G49" s="12"/>
      <c r="H49" s="12"/>
      <c r="I49" s="13">
        <v>1</v>
      </c>
      <c r="J49" s="13">
        <v>1</v>
      </c>
      <c r="K49" s="14" t="str">
        <f>HYPERLINK("http://twitter.com/download/android","Twitter for Android")</f>
        <v>Twitter for Android</v>
      </c>
      <c r="L49" s="13">
        <v>9387</v>
      </c>
      <c r="M49" s="13">
        <v>9193</v>
      </c>
      <c r="N49" s="13">
        <v>159</v>
      </c>
      <c r="O49" s="15"/>
      <c r="P49" s="6">
        <v>40624.802627314813</v>
      </c>
      <c r="Q49" s="17" t="s">
        <v>85</v>
      </c>
      <c r="R49" s="18" t="s">
        <v>86</v>
      </c>
      <c r="S49" s="12"/>
      <c r="T49" s="12"/>
      <c r="U49" s="10" t="str">
        <f>HYPERLINK("https://pbs.twimg.com/profile_images/789471807682256896/cuEOEHIr.jpg","View")</f>
        <v>View</v>
      </c>
    </row>
    <row r="50" spans="1:21" ht="40.799999999999997">
      <c r="A50" s="6">
        <v>43427.657048611116</v>
      </c>
      <c r="B50" s="7" t="str">
        <f>HYPERLINK("https://twitter.com/sgavinabarriuso","@sgavinabarriuso")</f>
        <v>@sgavinabarriuso</v>
      </c>
      <c r="C50" s="8" t="s">
        <v>318</v>
      </c>
      <c r="D50" s="9" t="s">
        <v>319</v>
      </c>
      <c r="E50" s="10" t="str">
        <f>HYPERLINK("https://twitter.com/sgavinabarriuso/status/1065979823967883264","1065979823967883264")</f>
        <v>1065979823967883264</v>
      </c>
      <c r="F50" s="11" t="s">
        <v>320</v>
      </c>
      <c r="G50" s="12"/>
      <c r="H50" s="12"/>
      <c r="I50" s="13">
        <v>3</v>
      </c>
      <c r="J50" s="13">
        <v>2</v>
      </c>
      <c r="K50" s="14" t="str">
        <f>HYPERLINK("http://twitter.com","Twitter Web Client")</f>
        <v>Twitter Web Client</v>
      </c>
      <c r="L50" s="13">
        <v>1344</v>
      </c>
      <c r="M50" s="13">
        <v>2087</v>
      </c>
      <c r="N50" s="13">
        <v>56</v>
      </c>
      <c r="O50" s="15"/>
      <c r="P50" s="6">
        <v>40248.796215277776</v>
      </c>
      <c r="Q50" s="17" t="s">
        <v>72</v>
      </c>
      <c r="R50" s="18" t="s">
        <v>321</v>
      </c>
      <c r="S50" s="12"/>
      <c r="T50" s="12"/>
      <c r="U50" s="10" t="str">
        <f>HYPERLINK("https://pbs.twimg.com/profile_images/885137761384243200/Sd6l0a-T.jpg","View")</f>
        <v>View</v>
      </c>
    </row>
    <row r="51" spans="1:21" ht="20.399999999999999">
      <c r="A51" s="6">
        <v>43427.654699074075</v>
      </c>
      <c r="B51" s="7" t="str">
        <f>HYPERLINK("https://twitter.com/trajano313","@trajano313")</f>
        <v>@trajano313</v>
      </c>
      <c r="C51" s="8" t="s">
        <v>322</v>
      </c>
      <c r="D51" s="9" t="s">
        <v>323</v>
      </c>
      <c r="E51" s="10" t="str">
        <f>HYPERLINK("https://twitter.com/trajano313/status/1065978971068801026","1065978971068801026")</f>
        <v>1065978971068801026</v>
      </c>
      <c r="F51" s="12"/>
      <c r="G51" s="12"/>
      <c r="H51" s="12"/>
      <c r="I51" s="13">
        <v>0</v>
      </c>
      <c r="J51" s="13">
        <v>0</v>
      </c>
      <c r="K51" s="14" t="str">
        <f>HYPERLINK("http://twitter.com/download/android","Twitter for Android")</f>
        <v>Twitter for Android</v>
      </c>
      <c r="L51" s="13">
        <v>2429</v>
      </c>
      <c r="M51" s="13">
        <v>2358</v>
      </c>
      <c r="N51" s="13">
        <v>25</v>
      </c>
      <c r="O51" s="15"/>
      <c r="P51" s="6">
        <v>40451.624675925923</v>
      </c>
      <c r="Q51" s="12"/>
      <c r="R51" s="19"/>
      <c r="S51" s="12"/>
      <c r="T51" s="12"/>
      <c r="U51" s="10" t="str">
        <f>HYPERLINK("https://pbs.twimg.com/profile_images/912359275351220225/pFHb_ecp.jpg","View")</f>
        <v>View</v>
      </c>
    </row>
    <row r="52" spans="1:21" ht="40.799999999999997">
      <c r="A52" s="6">
        <v>43427.654583333337</v>
      </c>
      <c r="B52" s="7" t="str">
        <f>HYPERLINK("https://twitter.com/SergioCor01","@SergioCor01")</f>
        <v>@SergioCor01</v>
      </c>
      <c r="C52" s="8" t="s">
        <v>324</v>
      </c>
      <c r="D52" s="9" t="s">
        <v>325</v>
      </c>
      <c r="E52" s="10" t="str">
        <f>HYPERLINK("https://twitter.com/SergioCor01/status/1065978928966365184","1065978928966365184")</f>
        <v>1065978928966365184</v>
      </c>
      <c r="F52" s="12"/>
      <c r="G52" s="11" t="s">
        <v>326</v>
      </c>
      <c r="H52" s="12"/>
      <c r="I52" s="13">
        <v>0</v>
      </c>
      <c r="J52" s="13">
        <v>0</v>
      </c>
      <c r="K52" s="14" t="str">
        <f>HYPERLINK("http://twitter.com/download/iphone","Twitter for iPhone")</f>
        <v>Twitter for iPhone</v>
      </c>
      <c r="L52" s="13">
        <v>294</v>
      </c>
      <c r="M52" s="13">
        <v>251</v>
      </c>
      <c r="N52" s="13">
        <v>12</v>
      </c>
      <c r="O52" s="15"/>
      <c r="P52" s="6">
        <v>40855.918194444443</v>
      </c>
      <c r="Q52" s="17" t="s">
        <v>327</v>
      </c>
      <c r="R52" s="18" t="s">
        <v>328</v>
      </c>
      <c r="S52" s="12"/>
      <c r="T52" s="12"/>
      <c r="U52" s="10" t="str">
        <f>HYPERLINK("https://pbs.twimg.com/profile_images/1011567418211274752/IsqGmVMP.jpg","View")</f>
        <v>View</v>
      </c>
    </row>
    <row r="53" spans="1:21" ht="30.6">
      <c r="A53" s="6">
        <v>43427.654432870375</v>
      </c>
      <c r="B53" s="7" t="str">
        <f>HYPERLINK("https://twitter.com/ancabocristiano","@ancabocristiano")</f>
        <v>@ancabocristiano</v>
      </c>
      <c r="C53" s="8" t="s">
        <v>255</v>
      </c>
      <c r="D53" s="9" t="s">
        <v>329</v>
      </c>
      <c r="E53" s="10" t="str">
        <f>HYPERLINK("https://twitter.com/ancabocristiano/status/1065978876814331906","1065978876814331906")</f>
        <v>1065978876814331906</v>
      </c>
      <c r="F53" s="11" t="s">
        <v>330</v>
      </c>
      <c r="G53" s="12"/>
      <c r="H53" s="12"/>
      <c r="I53" s="13">
        <v>0</v>
      </c>
      <c r="J53" s="13">
        <v>0</v>
      </c>
      <c r="K53" s="14" t="str">
        <f t="shared" ref="K53:K54" si="8">HYPERLINK("http://twitter.com","Twitter Web Client")</f>
        <v>Twitter Web Client</v>
      </c>
      <c r="L53" s="13">
        <v>725</v>
      </c>
      <c r="M53" s="13">
        <v>1174</v>
      </c>
      <c r="N53" s="13">
        <v>17</v>
      </c>
      <c r="O53" s="15"/>
      <c r="P53" s="6">
        <v>40589.012638888889</v>
      </c>
      <c r="Q53" s="17" t="s">
        <v>262</v>
      </c>
      <c r="R53" s="18" t="s">
        <v>263</v>
      </c>
      <c r="S53" s="12"/>
      <c r="T53" s="12"/>
      <c r="U53" s="10" t="str">
        <f>HYPERLINK("https://pbs.twimg.com/profile_images/1498277119/Antonio_Twiter.JPG","View")</f>
        <v>View</v>
      </c>
    </row>
    <row r="54" spans="1:21" ht="20.399999999999999">
      <c r="A54" s="6">
        <v>43427.654409722221</v>
      </c>
      <c r="B54" s="7" t="str">
        <f>HYPERLINK("https://twitter.com/ChanChave","@ChanChave")</f>
        <v>@ChanChave</v>
      </c>
      <c r="C54" s="8" t="s">
        <v>331</v>
      </c>
      <c r="D54" s="9" t="s">
        <v>332</v>
      </c>
      <c r="E54" s="10" t="str">
        <f>HYPERLINK("https://twitter.com/ChanChave/status/1065978868538974208","1065978868538974208")</f>
        <v>1065978868538974208</v>
      </c>
      <c r="F54" s="11" t="s">
        <v>330</v>
      </c>
      <c r="G54" s="12"/>
      <c r="H54" s="12"/>
      <c r="I54" s="13">
        <v>0</v>
      </c>
      <c r="J54" s="13">
        <v>0</v>
      </c>
      <c r="K54" s="14" t="str">
        <f t="shared" si="8"/>
        <v>Twitter Web Client</v>
      </c>
      <c r="L54" s="13">
        <v>1533</v>
      </c>
      <c r="M54" s="13">
        <v>1763</v>
      </c>
      <c r="N54" s="13">
        <v>29</v>
      </c>
      <c r="O54" s="15"/>
      <c r="P54" s="6">
        <v>41330.770277777774</v>
      </c>
      <c r="Q54" s="17" t="s">
        <v>141</v>
      </c>
      <c r="R54" s="18" t="s">
        <v>333</v>
      </c>
      <c r="S54" s="12"/>
      <c r="T54" s="12"/>
      <c r="U54" s="10" t="str">
        <f>HYPERLINK("https://pbs.twimg.com/profile_images/799293272120295424/ANV4MoWm.jpg","View")</f>
        <v>View</v>
      </c>
    </row>
    <row r="55" spans="1:21" ht="51">
      <c r="A55" s="6">
        <v>43427.653912037036</v>
      </c>
      <c r="B55" s="7" t="str">
        <f>HYPERLINK("https://twitter.com/CampsFrancisco","@CampsFrancisco")</f>
        <v>@CampsFrancisco</v>
      </c>
      <c r="C55" s="8" t="s">
        <v>334</v>
      </c>
      <c r="D55" s="9" t="s">
        <v>335</v>
      </c>
      <c r="E55" s="10" t="str">
        <f>HYPERLINK("https://twitter.com/CampsFrancisco/status/1065978688024522752","1065978688024522752")</f>
        <v>1065978688024522752</v>
      </c>
      <c r="F55" s="11" t="s">
        <v>336</v>
      </c>
      <c r="G55" s="11" t="s">
        <v>337</v>
      </c>
      <c r="H55" s="12"/>
      <c r="I55" s="13">
        <v>1</v>
      </c>
      <c r="J55" s="13">
        <v>1</v>
      </c>
      <c r="K55" s="14" t="str">
        <f>HYPERLINK("https://www.hootsuite.com","Hootsuite Inc.")</f>
        <v>Hootsuite Inc.</v>
      </c>
      <c r="L55" s="13">
        <v>533</v>
      </c>
      <c r="M55" s="13">
        <v>254</v>
      </c>
      <c r="N55" s="13">
        <v>22</v>
      </c>
      <c r="O55" s="16" t="s">
        <v>26</v>
      </c>
      <c r="P55" s="6">
        <v>40934.158784722225</v>
      </c>
      <c r="Q55" s="17" t="s">
        <v>338</v>
      </c>
      <c r="R55" s="18" t="s">
        <v>339</v>
      </c>
      <c r="S55" s="11" t="s">
        <v>340</v>
      </c>
      <c r="T55" s="12"/>
      <c r="U55" s="10" t="str">
        <f>HYPERLINK("https://pbs.twimg.com/profile_images/981726911419297792/ul8nGd8l.jpg","View")</f>
        <v>View</v>
      </c>
    </row>
    <row r="56" spans="1:21" ht="81.599999999999994">
      <c r="A56" s="6">
        <v>43427.653715277775</v>
      </c>
      <c r="B56" s="7" t="str">
        <f>HYPERLINK("https://twitter.com/jmdiaz1945","@jmdiaz1945")</f>
        <v>@jmdiaz1945</v>
      </c>
      <c r="C56" s="8" t="s">
        <v>341</v>
      </c>
      <c r="D56" s="9" t="s">
        <v>342</v>
      </c>
      <c r="E56" s="10" t="str">
        <f>HYPERLINK("https://twitter.com/jmdiaz1945/status/1065978614926245888","1065978614926245888")</f>
        <v>1065978614926245888</v>
      </c>
      <c r="F56" s="11" t="s">
        <v>343</v>
      </c>
      <c r="G56" s="11" t="s">
        <v>344</v>
      </c>
      <c r="H56" s="12"/>
      <c r="I56" s="13">
        <v>0</v>
      </c>
      <c r="J56" s="13">
        <v>0</v>
      </c>
      <c r="K56" s="14" t="str">
        <f>HYPERLINK("http://twitter.com/download/android","Twitter for Android")</f>
        <v>Twitter for Android</v>
      </c>
      <c r="L56" s="13">
        <v>424</v>
      </c>
      <c r="M56" s="13">
        <v>887</v>
      </c>
      <c r="N56" s="13">
        <v>66</v>
      </c>
      <c r="O56" s="15"/>
      <c r="P56" s="6">
        <v>41727.926296296297</v>
      </c>
      <c r="Q56" s="17" t="s">
        <v>345</v>
      </c>
      <c r="R56" s="18" t="s">
        <v>346</v>
      </c>
      <c r="S56" s="11" t="s">
        <v>347</v>
      </c>
      <c r="T56" s="12"/>
      <c r="U56" s="10" t="str">
        <f>HYPERLINK("https://pbs.twimg.com/profile_images/880122133594218496/nsP3Lipj.jpg","View")</f>
        <v>View</v>
      </c>
    </row>
    <row r="57" spans="1:21" ht="30.6">
      <c r="A57" s="6">
        <v>43427.653229166666</v>
      </c>
      <c r="B57" s="7" t="str">
        <f>HYPERLINK("https://twitter.com/Horadelaverdad","@Horadelaverdad")</f>
        <v>@Horadelaverdad</v>
      </c>
      <c r="C57" s="8" t="s">
        <v>348</v>
      </c>
      <c r="D57" s="9" t="s">
        <v>349</v>
      </c>
      <c r="E57" s="10" t="str">
        <f>HYPERLINK("https://twitter.com/Horadelaverdad/status/1065978439088386048","1065978439088386048")</f>
        <v>1065978439088386048</v>
      </c>
      <c r="F57" s="11" t="s">
        <v>350</v>
      </c>
      <c r="G57" s="11" t="s">
        <v>351</v>
      </c>
      <c r="H57" s="12"/>
      <c r="I57" s="13">
        <v>0</v>
      </c>
      <c r="J57" s="13">
        <v>0</v>
      </c>
      <c r="K57" s="14" t="str">
        <f t="shared" ref="K57:K60" si="9">HYPERLINK("http://twitter.com","Twitter Web Client")</f>
        <v>Twitter Web Client</v>
      </c>
      <c r="L57" s="13">
        <v>96055</v>
      </c>
      <c r="M57" s="13">
        <v>323</v>
      </c>
      <c r="N57" s="13">
        <v>427</v>
      </c>
      <c r="O57" s="15"/>
      <c r="P57" s="6">
        <v>40217.542870370373</v>
      </c>
      <c r="Q57" s="17" t="s">
        <v>352</v>
      </c>
      <c r="R57" s="18" t="s">
        <v>353</v>
      </c>
      <c r="S57" s="11" t="s">
        <v>354</v>
      </c>
      <c r="T57" s="12"/>
      <c r="U57" s="10" t="str">
        <f>HYPERLINK("https://pbs.twimg.com/profile_images/858858478210883586/90C_glgA.jpg","View")</f>
        <v>View</v>
      </c>
    </row>
    <row r="58" spans="1:21" ht="51">
      <c r="A58" s="6">
        <v>43427.652974537035</v>
      </c>
      <c r="B58" s="7" t="str">
        <f>HYPERLINK("https://twitter.com/PeriodicoBasura","@PeriodicoBasura")</f>
        <v>@PeriodicoBasura</v>
      </c>
      <c r="C58" s="8" t="s">
        <v>355</v>
      </c>
      <c r="D58" s="9" t="s">
        <v>356</v>
      </c>
      <c r="E58" s="10" t="str">
        <f>HYPERLINK("https://twitter.com/PeriodicoBasura/status/1065978346260058112","1065978346260058112")</f>
        <v>1065978346260058112</v>
      </c>
      <c r="F58" s="17" t="s">
        <v>357</v>
      </c>
      <c r="G58" s="11" t="s">
        <v>358</v>
      </c>
      <c r="H58" s="12"/>
      <c r="I58" s="13">
        <v>0</v>
      </c>
      <c r="J58" s="13">
        <v>0</v>
      </c>
      <c r="K58" s="14" t="str">
        <f t="shared" si="9"/>
        <v>Twitter Web Client</v>
      </c>
      <c r="L58" s="13">
        <v>199</v>
      </c>
      <c r="M58" s="13">
        <v>704</v>
      </c>
      <c r="N58" s="13">
        <v>2</v>
      </c>
      <c r="O58" s="15"/>
      <c r="P58" s="6">
        <v>42250.794456018513</v>
      </c>
      <c r="Q58" s="12"/>
      <c r="R58" s="18" t="s">
        <v>359</v>
      </c>
      <c r="S58" s="12"/>
      <c r="T58" s="12"/>
      <c r="U58" s="10" t="str">
        <f>HYPERLINK("https://pbs.twimg.com/profile_images/871318774124883968/mqY5aPWP.jpg","View")</f>
        <v>View</v>
      </c>
    </row>
    <row r="59" spans="1:21" ht="20.399999999999999">
      <c r="A59" s="6">
        <v>43427.652291666665</v>
      </c>
      <c r="B59" s="7" t="str">
        <f>HYPERLINK("https://twitter.com/francisco120282","@francisco120282")</f>
        <v>@francisco120282</v>
      </c>
      <c r="C59" s="8" t="s">
        <v>360</v>
      </c>
      <c r="D59" s="9" t="s">
        <v>361</v>
      </c>
      <c r="E59" s="10" t="str">
        <f>HYPERLINK("https://twitter.com/francisco120282/status/1065978097793724416","1065978097793724416")</f>
        <v>1065978097793724416</v>
      </c>
      <c r="F59" s="11" t="s">
        <v>362</v>
      </c>
      <c r="G59" s="12"/>
      <c r="H59" s="12"/>
      <c r="I59" s="13">
        <v>0</v>
      </c>
      <c r="J59" s="13">
        <v>0</v>
      </c>
      <c r="K59" s="14" t="str">
        <f t="shared" si="9"/>
        <v>Twitter Web Client</v>
      </c>
      <c r="L59" s="13">
        <v>362</v>
      </c>
      <c r="M59" s="13">
        <v>2069</v>
      </c>
      <c r="N59" s="13">
        <v>2</v>
      </c>
      <c r="O59" s="15"/>
      <c r="P59" s="6">
        <v>40128.560601851852</v>
      </c>
      <c r="Q59" s="17" t="s">
        <v>363</v>
      </c>
      <c r="R59" s="18" t="s">
        <v>364</v>
      </c>
      <c r="S59" s="12"/>
      <c r="T59" s="12"/>
      <c r="U59" s="10" t="str">
        <f>HYPERLINK("https://pbs.twimg.com/profile_images/378800000740202165/b05694a3f2964e6d9771da0340f153b2.jpeg","View")</f>
        <v>View</v>
      </c>
    </row>
    <row r="60" spans="1:21" ht="20.399999999999999">
      <c r="A60" s="6">
        <v>43427.651134259257</v>
      </c>
      <c r="B60" s="7" t="str">
        <f>HYPERLINK("https://twitter.com/bateman1965","@bateman1965")</f>
        <v>@bateman1965</v>
      </c>
      <c r="C60" s="8" t="s">
        <v>365</v>
      </c>
      <c r="D60" s="9" t="s">
        <v>366</v>
      </c>
      <c r="E60" s="10" t="str">
        <f>HYPERLINK("https://twitter.com/bateman1965/status/1065977681102209024","1065977681102209024")</f>
        <v>1065977681102209024</v>
      </c>
      <c r="F60" s="11" t="s">
        <v>367</v>
      </c>
      <c r="G60" s="12"/>
      <c r="H60" s="12"/>
      <c r="I60" s="13">
        <v>0</v>
      </c>
      <c r="J60" s="13">
        <v>0</v>
      </c>
      <c r="K60" s="14" t="str">
        <f t="shared" si="9"/>
        <v>Twitter Web Client</v>
      </c>
      <c r="L60" s="13">
        <v>198</v>
      </c>
      <c r="M60" s="13">
        <v>117</v>
      </c>
      <c r="N60" s="13">
        <v>6</v>
      </c>
      <c r="O60" s="15"/>
      <c r="P60" s="6">
        <v>40716.776759259257</v>
      </c>
      <c r="Q60" s="17" t="s">
        <v>368</v>
      </c>
      <c r="R60" s="18" t="s">
        <v>369</v>
      </c>
      <c r="S60" s="12"/>
      <c r="T60" s="12"/>
      <c r="U60" s="10" t="str">
        <f>HYPERLINK("https://pbs.twimg.com/profile_images/1409788349/comic.jpg","View")</f>
        <v>View</v>
      </c>
    </row>
    <row r="61" spans="1:21" ht="30.6">
      <c r="A61" s="6">
        <v>43427.650902777779</v>
      </c>
      <c r="B61" s="7" t="str">
        <f>HYPERLINK("https://twitter.com/Salicornia16","@Salicornia16")</f>
        <v>@Salicornia16</v>
      </c>
      <c r="C61" s="8" t="s">
        <v>370</v>
      </c>
      <c r="D61" s="9" t="s">
        <v>371</v>
      </c>
      <c r="E61" s="10" t="str">
        <f>HYPERLINK("https://twitter.com/Salicornia16/status/1065977594162618369","1065977594162618369")</f>
        <v>1065977594162618369</v>
      </c>
      <c r="F61" s="11" t="s">
        <v>372</v>
      </c>
      <c r="G61" s="12"/>
      <c r="H61" s="12"/>
      <c r="I61" s="13">
        <v>0</v>
      </c>
      <c r="J61" s="13">
        <v>0</v>
      </c>
      <c r="K61" s="14" t="str">
        <f>HYPERLINK("http://twitter.com/download/iphone","Twitter for iPhone")</f>
        <v>Twitter for iPhone</v>
      </c>
      <c r="L61" s="13">
        <v>30</v>
      </c>
      <c r="M61" s="13">
        <v>218</v>
      </c>
      <c r="N61" s="13">
        <v>0</v>
      </c>
      <c r="O61" s="15"/>
      <c r="P61" s="6">
        <v>42394.618310185186</v>
      </c>
      <c r="Q61" s="12"/>
      <c r="R61" s="19"/>
      <c r="S61" s="12"/>
      <c r="T61" s="12"/>
      <c r="U61" s="16" t="s">
        <v>373</v>
      </c>
    </row>
    <row r="62" spans="1:21" ht="30.6">
      <c r="A62" s="6">
        <v>43427.650810185187</v>
      </c>
      <c r="B62" s="7" t="str">
        <f>HYPERLINK("https://twitter.com/ManuCorralSOL","@ManuCorralSOL")</f>
        <v>@ManuCorralSOL</v>
      </c>
      <c r="C62" s="8" t="s">
        <v>374</v>
      </c>
      <c r="D62" s="9" t="s">
        <v>375</v>
      </c>
      <c r="E62" s="10" t="str">
        <f>HYPERLINK("https://twitter.com/ManuCorralSOL/status/1065977564496318464","1065977564496318464")</f>
        <v>1065977564496318464</v>
      </c>
      <c r="F62" s="11" t="s">
        <v>376</v>
      </c>
      <c r="G62" s="11" t="s">
        <v>377</v>
      </c>
      <c r="H62" s="12"/>
      <c r="I62" s="13">
        <v>0</v>
      </c>
      <c r="J62" s="13">
        <v>1</v>
      </c>
      <c r="K62" s="14" t="str">
        <f t="shared" ref="K62:K63" si="10">HYPERLINK("http://twitter.com","Twitter Web Client")</f>
        <v>Twitter Web Client</v>
      </c>
      <c r="L62" s="13">
        <v>664</v>
      </c>
      <c r="M62" s="13">
        <v>1641</v>
      </c>
      <c r="N62" s="13">
        <v>8</v>
      </c>
      <c r="O62" s="15"/>
      <c r="P62" s="6">
        <v>41075.898773148147</v>
      </c>
      <c r="Q62" s="12"/>
      <c r="R62" s="18" t="s">
        <v>378</v>
      </c>
      <c r="S62" s="11" t="s">
        <v>379</v>
      </c>
      <c r="T62" s="12"/>
      <c r="U62" s="10" t="str">
        <f>HYPERLINK("https://pbs.twimg.com/profile_images/2362014721/ceso8tca3pophzbrxb9k.jpeg","View")</f>
        <v>View</v>
      </c>
    </row>
    <row r="63" spans="1:21" ht="61.2">
      <c r="A63" s="6">
        <v>43427.650266203702</v>
      </c>
      <c r="B63" s="7" t="str">
        <f>HYPERLINK("https://twitter.com/Tururunes","@Tururunes")</f>
        <v>@Tururunes</v>
      </c>
      <c r="C63" s="8" t="s">
        <v>380</v>
      </c>
      <c r="D63" s="9" t="s">
        <v>381</v>
      </c>
      <c r="E63" s="10" t="str">
        <f>HYPERLINK("https://twitter.com/Tururunes/status/1065977366986539008","1065977366986539008")</f>
        <v>1065977366986539008</v>
      </c>
      <c r="F63" s="17" t="s">
        <v>382</v>
      </c>
      <c r="G63" s="12"/>
      <c r="H63" s="12"/>
      <c r="I63" s="13">
        <v>1</v>
      </c>
      <c r="J63" s="13">
        <v>1</v>
      </c>
      <c r="K63" s="14" t="str">
        <f t="shared" si="10"/>
        <v>Twitter Web Client</v>
      </c>
      <c r="L63" s="13">
        <v>12708</v>
      </c>
      <c r="M63" s="13">
        <v>715</v>
      </c>
      <c r="N63" s="13">
        <v>31</v>
      </c>
      <c r="O63" s="15"/>
      <c r="P63" s="6">
        <v>42045.841354166667</v>
      </c>
      <c r="Q63" s="17" t="s">
        <v>383</v>
      </c>
      <c r="R63" s="18" t="s">
        <v>384</v>
      </c>
      <c r="S63" s="11" t="s">
        <v>385</v>
      </c>
      <c r="T63" s="12"/>
      <c r="U63" s="10" t="str">
        <f>HYPERLINK("https://pbs.twimg.com/profile_images/1025524163841327110/IhW7vDcb.jpg","View")</f>
        <v>View</v>
      </c>
    </row>
    <row r="64" spans="1:21" ht="20.399999999999999">
      <c r="A64" s="6">
        <v>43427.649375000001</v>
      </c>
      <c r="B64" s="7" t="str">
        <f>HYPERLINK("https://twitter.com/rokoten","@rokoten")</f>
        <v>@rokoten</v>
      </c>
      <c r="C64" s="8" t="s">
        <v>386</v>
      </c>
      <c r="D64" s="9" t="s">
        <v>316</v>
      </c>
      <c r="E64" s="10" t="str">
        <f>HYPERLINK("https://twitter.com/rokoten/status/1065977041361793024","1065977041361793024")</f>
        <v>1065977041361793024</v>
      </c>
      <c r="F64" s="11" t="s">
        <v>387</v>
      </c>
      <c r="G64" s="12"/>
      <c r="H64" s="12"/>
      <c r="I64" s="13">
        <v>0</v>
      </c>
      <c r="J64" s="13">
        <v>0</v>
      </c>
      <c r="K64" s="14" t="str">
        <f>HYPERLINK("http://twitter.com/download/android","Twitter for Android")</f>
        <v>Twitter for Android</v>
      </c>
      <c r="L64" s="13">
        <v>20862</v>
      </c>
      <c r="M64" s="13">
        <v>21122</v>
      </c>
      <c r="N64" s="13">
        <v>33</v>
      </c>
      <c r="O64" s="15"/>
      <c r="P64" s="6">
        <v>40803.436655092592</v>
      </c>
      <c r="Q64" s="12"/>
      <c r="R64" s="18" t="s">
        <v>388</v>
      </c>
      <c r="S64" s="12"/>
      <c r="T64" s="12"/>
      <c r="U64" s="10" t="str">
        <f>HYPERLINK("https://pbs.twimg.com/profile_images/595104891590279168/-_3anmkq.jpg","View")</f>
        <v>View</v>
      </c>
    </row>
    <row r="65" spans="1:21" ht="40.799999999999997">
      <c r="A65" s="6">
        <v>43427.64916666667</v>
      </c>
      <c r="B65" s="7" t="str">
        <f>HYPERLINK("https://twitter.com/PorAhoraTomas","@PorAhoraTomas")</f>
        <v>@PorAhoraTomas</v>
      </c>
      <c r="C65" s="8" t="s">
        <v>389</v>
      </c>
      <c r="D65" s="9" t="s">
        <v>390</v>
      </c>
      <c r="E65" s="10" t="str">
        <f>HYPERLINK("https://twitter.com/PorAhoraTomas/status/1065976965671370752","1065976965671370752")</f>
        <v>1065976965671370752</v>
      </c>
      <c r="F65" s="11" t="s">
        <v>391</v>
      </c>
      <c r="G65" s="12"/>
      <c r="H65" s="12"/>
      <c r="I65" s="13">
        <v>0</v>
      </c>
      <c r="J65" s="13">
        <v>0</v>
      </c>
      <c r="K65" s="14" t="str">
        <f>HYPERLINK("http://twitter.com","Twitter Web Client")</f>
        <v>Twitter Web Client</v>
      </c>
      <c r="L65" s="13">
        <v>49846</v>
      </c>
      <c r="M65" s="13">
        <v>41639</v>
      </c>
      <c r="N65" s="13">
        <v>107</v>
      </c>
      <c r="O65" s="15"/>
      <c r="P65" s="6">
        <v>40316.171990740739</v>
      </c>
      <c r="Q65" s="17" t="s">
        <v>393</v>
      </c>
      <c r="R65" s="18" t="s">
        <v>394</v>
      </c>
      <c r="S65" s="12"/>
      <c r="T65" s="12"/>
      <c r="U65" s="10" t="str">
        <f>HYPERLINK("https://pbs.twimg.com/profile_images/968942763344650240/FDp1_Gtr.jpg","View")</f>
        <v>View</v>
      </c>
    </row>
    <row r="66" spans="1:21" ht="20.399999999999999">
      <c r="A66" s="6">
        <v>43427.648287037038</v>
      </c>
      <c r="B66" s="7" t="str">
        <f>HYPERLINK("https://twitter.com/rokoten","@rokoten")</f>
        <v>@rokoten</v>
      </c>
      <c r="C66" s="8" t="s">
        <v>386</v>
      </c>
      <c r="D66" s="9" t="s">
        <v>316</v>
      </c>
      <c r="E66" s="10" t="str">
        <f>HYPERLINK("https://twitter.com/rokoten/status/1065976649760604160","1065976649760604160")</f>
        <v>1065976649760604160</v>
      </c>
      <c r="F66" s="11" t="s">
        <v>395</v>
      </c>
      <c r="G66" s="12"/>
      <c r="H66" s="12"/>
      <c r="I66" s="13">
        <v>0</v>
      </c>
      <c r="J66" s="13">
        <v>0</v>
      </c>
      <c r="K66" s="14" t="str">
        <f>HYPERLINK("http://twitter.com/download/android","Twitter for Android")</f>
        <v>Twitter for Android</v>
      </c>
      <c r="L66" s="13">
        <v>20862</v>
      </c>
      <c r="M66" s="13">
        <v>21122</v>
      </c>
      <c r="N66" s="13">
        <v>33</v>
      </c>
      <c r="O66" s="15"/>
      <c r="P66" s="6">
        <v>40803.436655092592</v>
      </c>
      <c r="Q66" s="12"/>
      <c r="R66" s="18" t="s">
        <v>388</v>
      </c>
      <c r="S66" s="12"/>
      <c r="T66" s="12"/>
      <c r="U66" s="10" t="str">
        <f>HYPERLINK("https://pbs.twimg.com/profile_images/595104891590279168/-_3anmkq.jpg","View")</f>
        <v>View</v>
      </c>
    </row>
    <row r="67" spans="1:21" ht="30.6">
      <c r="A67" s="6">
        <v>43427.648263888885</v>
      </c>
      <c r="B67" s="7" t="str">
        <f>HYPERLINK("https://twitter.com/orgamatron","@orgamatron")</f>
        <v>@orgamatron</v>
      </c>
      <c r="C67" s="8" t="s">
        <v>396</v>
      </c>
      <c r="D67" s="9" t="s">
        <v>397</v>
      </c>
      <c r="E67" s="10" t="str">
        <f>HYPERLINK("https://twitter.com/orgamatron/status/1065976639002165248","1065976639002165248")</f>
        <v>1065976639002165248</v>
      </c>
      <c r="F67" s="11" t="s">
        <v>398</v>
      </c>
      <c r="G67" s="12"/>
      <c r="H67" s="12"/>
      <c r="I67" s="13">
        <v>0</v>
      </c>
      <c r="J67" s="13">
        <v>0</v>
      </c>
      <c r="K67" s="14" t="str">
        <f t="shared" ref="K67:K68" si="11">HYPERLINK("http://twitter.com","Twitter Web Client")</f>
        <v>Twitter Web Client</v>
      </c>
      <c r="L67" s="13">
        <v>819</v>
      </c>
      <c r="M67" s="13">
        <v>286</v>
      </c>
      <c r="N67" s="13">
        <v>6</v>
      </c>
      <c r="O67" s="15"/>
      <c r="P67" s="6">
        <v>41382.604074074072</v>
      </c>
      <c r="Q67" s="17" t="s">
        <v>400</v>
      </c>
      <c r="R67" s="18" t="s">
        <v>401</v>
      </c>
      <c r="S67" s="12"/>
      <c r="T67" s="12"/>
      <c r="U67" s="10" t="str">
        <f>HYPERLINK("https://pbs.twimg.com/profile_images/733945000124420100/ON5minwE.jpg","View")</f>
        <v>View</v>
      </c>
    </row>
    <row r="68" spans="1:21" ht="51">
      <c r="A68" s="6">
        <v>43427.648125</v>
      </c>
      <c r="B68" s="7" t="str">
        <f>HYPERLINK("https://twitter.com/SalvarArchivo","@SalvarArchivo")</f>
        <v>@SalvarArchivo</v>
      </c>
      <c r="C68" s="8" t="s">
        <v>402</v>
      </c>
      <c r="D68" s="9" t="s">
        <v>403</v>
      </c>
      <c r="E68" s="10" t="str">
        <f>HYPERLINK("https://twitter.com/SalvarArchivo/status/1065976589387735040","1065976589387735040")</f>
        <v>1065976589387735040</v>
      </c>
      <c r="F68" s="11" t="s">
        <v>404</v>
      </c>
      <c r="G68" s="12"/>
      <c r="H68" s="12"/>
      <c r="I68" s="13">
        <v>1</v>
      </c>
      <c r="J68" s="13">
        <v>0</v>
      </c>
      <c r="K68" s="14" t="str">
        <f t="shared" si="11"/>
        <v>Twitter Web Client</v>
      </c>
      <c r="L68" s="13">
        <v>4311</v>
      </c>
      <c r="M68" s="13">
        <v>2791</v>
      </c>
      <c r="N68" s="13">
        <v>48</v>
      </c>
      <c r="O68" s="15"/>
      <c r="P68" s="6">
        <v>40834.584907407407</v>
      </c>
      <c r="Q68" s="17" t="s">
        <v>405</v>
      </c>
      <c r="R68" s="18" t="s">
        <v>406</v>
      </c>
      <c r="S68" s="11" t="s">
        <v>407</v>
      </c>
      <c r="T68" s="12"/>
      <c r="U68" s="10" t="str">
        <f>HYPERLINK("https://pbs.twimg.com/profile_images/1046855216384151552/YKJjx9r8.jpg","View")</f>
        <v>View</v>
      </c>
    </row>
    <row r="69" spans="1:21" ht="30.6">
      <c r="A69" s="6">
        <v>43427.647210648152</v>
      </c>
      <c r="B69" s="7" t="str">
        <f>HYPERLINK("https://twitter.com/AFdz26","@AFdz26")</f>
        <v>@AFdz26</v>
      </c>
      <c r="C69" s="8" t="s">
        <v>408</v>
      </c>
      <c r="D69" s="9" t="s">
        <v>409</v>
      </c>
      <c r="E69" s="10" t="str">
        <f>HYPERLINK("https://twitter.com/AFdz26/status/1065976259950333957","1065976259950333957")</f>
        <v>1065976259950333957</v>
      </c>
      <c r="F69" s="12"/>
      <c r="G69" s="12"/>
      <c r="H69" s="12"/>
      <c r="I69" s="13">
        <v>0</v>
      </c>
      <c r="J69" s="13">
        <v>0</v>
      </c>
      <c r="K69" s="14" t="str">
        <f>HYPERLINK("http://twitter.com/download/android","Twitter for Android")</f>
        <v>Twitter for Android</v>
      </c>
      <c r="L69" s="13">
        <v>129</v>
      </c>
      <c r="M69" s="13">
        <v>263</v>
      </c>
      <c r="N69" s="13">
        <v>5</v>
      </c>
      <c r="O69" s="15"/>
      <c r="P69" s="6">
        <v>40558.989317129628</v>
      </c>
      <c r="Q69" s="17" t="s">
        <v>411</v>
      </c>
      <c r="R69" s="18" t="s">
        <v>412</v>
      </c>
      <c r="S69" s="12"/>
      <c r="T69" s="12"/>
      <c r="U69" s="10" t="str">
        <f>HYPERLINK("https://pbs.twimg.com/profile_images/635548366869544961/wITRQpeg.jpg","View")</f>
        <v>View</v>
      </c>
    </row>
    <row r="70" spans="1:21" ht="51">
      <c r="A70" s="6">
        <v>43427.647037037037</v>
      </c>
      <c r="B70" s="7" t="str">
        <f>HYPERLINK("https://twitter.com/Humoristos","@Humoristos")</f>
        <v>@Humoristos</v>
      </c>
      <c r="C70" s="8" t="s">
        <v>414</v>
      </c>
      <c r="D70" s="9" t="s">
        <v>415</v>
      </c>
      <c r="E70" s="10" t="str">
        <f>HYPERLINK("https://twitter.com/Humoristos/status/1065976196213673985","1065976196213673985")</f>
        <v>1065976196213673985</v>
      </c>
      <c r="F70" s="12"/>
      <c r="G70" s="12"/>
      <c r="H70" s="12"/>
      <c r="I70" s="13">
        <v>0</v>
      </c>
      <c r="J70" s="13">
        <v>0</v>
      </c>
      <c r="K70" s="14" t="str">
        <f>HYPERLINK("http://HumoristosAPP.com","HumoristosAPP")</f>
        <v>HumoristosAPP</v>
      </c>
      <c r="L70" s="13">
        <v>2410</v>
      </c>
      <c r="M70" s="13">
        <v>0</v>
      </c>
      <c r="N70" s="13">
        <v>14</v>
      </c>
      <c r="O70" s="15"/>
      <c r="P70" s="6">
        <v>41817.454421296294</v>
      </c>
      <c r="Q70" s="12"/>
      <c r="R70" s="18" t="s">
        <v>416</v>
      </c>
      <c r="S70" s="12"/>
      <c r="T70" s="12"/>
      <c r="U70" s="10" t="str">
        <f>HYPERLINK("https://pbs.twimg.com/profile_images/482447782368649217/uY1qNL7Q.jpeg","View")</f>
        <v>View</v>
      </c>
    </row>
    <row r="71" spans="1:21" ht="51">
      <c r="A71" s="6">
        <v>43427.646898148145</v>
      </c>
      <c r="B71" s="7" t="str">
        <f>HYPERLINK("https://twitter.com/AM750","@AM750")</f>
        <v>@AM750</v>
      </c>
      <c r="C71" s="8" t="s">
        <v>419</v>
      </c>
      <c r="D71" s="9" t="s">
        <v>420</v>
      </c>
      <c r="E71" s="10" t="str">
        <f>HYPERLINK("https://twitter.com/AM750/status/1065976146733531136","1065976146733531136")</f>
        <v>1065976146733531136</v>
      </c>
      <c r="F71" s="12"/>
      <c r="G71" s="11" t="s">
        <v>421</v>
      </c>
      <c r="H71" s="12"/>
      <c r="I71" s="13">
        <v>1</v>
      </c>
      <c r="J71" s="13">
        <v>1</v>
      </c>
      <c r="K71" s="14" t="str">
        <f>HYPERLINK("http://twitter.com","Twitter Web Client")</f>
        <v>Twitter Web Client</v>
      </c>
      <c r="L71" s="13">
        <v>42778</v>
      </c>
      <c r="M71" s="13">
        <v>1205</v>
      </c>
      <c r="N71" s="13">
        <v>289</v>
      </c>
      <c r="O71" s="15"/>
      <c r="P71" s="6">
        <v>40289.233946759261</v>
      </c>
      <c r="Q71" s="17" t="s">
        <v>422</v>
      </c>
      <c r="R71" s="18" t="s">
        <v>423</v>
      </c>
      <c r="S71" s="11" t="s">
        <v>424</v>
      </c>
      <c r="T71" s="12"/>
      <c r="U71" s="10" t="str">
        <f>HYPERLINK("https://pbs.twimg.com/profile_images/1027525909971124224/Spiw32oe.jpg","View")</f>
        <v>View</v>
      </c>
    </row>
    <row r="72" spans="1:21" ht="13.2">
      <c r="A72" s="6">
        <v>43427.646365740744</v>
      </c>
      <c r="B72" s="7" t="str">
        <f>HYPERLINK("https://twitter.com/daaelii09","@daaelii09")</f>
        <v>@daaelii09</v>
      </c>
      <c r="C72" s="8" t="s">
        <v>425</v>
      </c>
      <c r="D72" s="9" t="s">
        <v>426</v>
      </c>
      <c r="E72" s="10" t="str">
        <f>HYPERLINK("https://twitter.com/daaelii09/status/1065975953078329344","1065975953078329344")</f>
        <v>1065975953078329344</v>
      </c>
      <c r="F72" s="12"/>
      <c r="G72" s="12"/>
      <c r="H72" s="12"/>
      <c r="I72" s="13">
        <v>0</v>
      </c>
      <c r="J72" s="13">
        <v>0</v>
      </c>
      <c r="K72" s="14" t="str">
        <f>HYPERLINK("http://twitter.com/download/android","Twitter for Android")</f>
        <v>Twitter for Android</v>
      </c>
      <c r="L72" s="13">
        <v>193</v>
      </c>
      <c r="M72" s="13">
        <v>102</v>
      </c>
      <c r="N72" s="13">
        <v>0</v>
      </c>
      <c r="O72" s="15"/>
      <c r="P72" s="6">
        <v>42556.343009259261</v>
      </c>
      <c r="Q72" s="12"/>
      <c r="R72" s="18" t="s">
        <v>427</v>
      </c>
      <c r="S72" s="12"/>
      <c r="T72" s="12"/>
      <c r="U72" s="10" t="str">
        <f>HYPERLINK("https://pbs.twimg.com/profile_images/1058114924294090752/jcZwWbXx.jpg","View")</f>
        <v>View</v>
      </c>
    </row>
    <row r="73" spans="1:21" ht="30.6">
      <c r="A73" s="6">
        <v>43427.645833333328</v>
      </c>
      <c r="B73" s="7" t="str">
        <f>HYPERLINK("https://twitter.com/gaceta_es","@gaceta_es")</f>
        <v>@gaceta_es</v>
      </c>
      <c r="C73" s="8" t="s">
        <v>428</v>
      </c>
      <c r="D73" s="9" t="s">
        <v>429</v>
      </c>
      <c r="E73" s="10" t="str">
        <f>HYPERLINK("https://twitter.com/gaceta_es/status/1065975758294724610","1065975758294724610")</f>
        <v>1065975758294724610</v>
      </c>
      <c r="F73" s="11" t="s">
        <v>430</v>
      </c>
      <c r="G73" s="11" t="s">
        <v>431</v>
      </c>
      <c r="H73" s="12"/>
      <c r="I73" s="13">
        <v>1</v>
      </c>
      <c r="J73" s="13">
        <v>0</v>
      </c>
      <c r="K73" s="14" t="str">
        <f>HYPERLINK("https://about.twitter.com/products/tweetdeck","TweetDeck")</f>
        <v>TweetDeck</v>
      </c>
      <c r="L73" s="13">
        <v>181211</v>
      </c>
      <c r="M73" s="13">
        <v>98</v>
      </c>
      <c r="N73" s="13">
        <v>2117</v>
      </c>
      <c r="O73" s="16" t="s">
        <v>26</v>
      </c>
      <c r="P73" s="6">
        <v>39758.744652777779</v>
      </c>
      <c r="Q73" s="17" t="s">
        <v>28</v>
      </c>
      <c r="R73" s="18" t="s">
        <v>432</v>
      </c>
      <c r="S73" s="11" t="s">
        <v>433</v>
      </c>
      <c r="T73" s="12"/>
      <c r="U73" s="10" t="str">
        <f>HYPERLINK("https://pbs.twimg.com/profile_images/890208177580593152/SQpRuBm8.jpg","View")</f>
        <v>View</v>
      </c>
    </row>
    <row r="74" spans="1:21" ht="20.399999999999999">
      <c r="A74" s="6">
        <v>43427.645555555559</v>
      </c>
      <c r="B74" s="7" t="str">
        <f>HYPERLINK("https://twitter.com/Perona10690463","@Perona10690463")</f>
        <v>@Perona10690463</v>
      </c>
      <c r="C74" s="8" t="s">
        <v>434</v>
      </c>
      <c r="D74" s="9" t="s">
        <v>435</v>
      </c>
      <c r="E74" s="10" t="str">
        <f>HYPERLINK("https://twitter.com/Perona10690463/status/1065975657086230528","1065975657086230528")</f>
        <v>1065975657086230528</v>
      </c>
      <c r="F74" s="12"/>
      <c r="G74" s="11" t="s">
        <v>437</v>
      </c>
      <c r="H74" s="12"/>
      <c r="I74" s="13">
        <v>2</v>
      </c>
      <c r="J74" s="13">
        <v>2</v>
      </c>
      <c r="K74" s="14" t="str">
        <f>HYPERLINK("http://twitter.com/download/android","Twitter for Android")</f>
        <v>Twitter for Android</v>
      </c>
      <c r="L74" s="13">
        <v>1171</v>
      </c>
      <c r="M74" s="13">
        <v>877</v>
      </c>
      <c r="N74" s="13">
        <v>15</v>
      </c>
      <c r="O74" s="15"/>
      <c r="P74" s="6">
        <v>42673.617951388893</v>
      </c>
      <c r="Q74" s="17" t="s">
        <v>438</v>
      </c>
      <c r="R74" s="18" t="s">
        <v>439</v>
      </c>
      <c r="S74" s="12"/>
      <c r="T74" s="12"/>
      <c r="U74" s="10" t="str">
        <f>HYPERLINK("https://pbs.twimg.com/profile_images/980073260976046080/0KP5-Pxo.jpg","View")</f>
        <v>View</v>
      </c>
    </row>
    <row r="75" spans="1:21" ht="30.6">
      <c r="A75" s="6">
        <v>43427.644687499997</v>
      </c>
      <c r="B75" s="7" t="str">
        <f>HYPERLINK("https://twitter.com/m_pujeda","@m_pujeda")</f>
        <v>@m_pujeda</v>
      </c>
      <c r="C75" s="8" t="s">
        <v>440</v>
      </c>
      <c r="D75" s="9" t="s">
        <v>441</v>
      </c>
      <c r="E75" s="10" t="str">
        <f>HYPERLINK("https://twitter.com/m_pujeda/status/1065975342580596736","1065975342580596736")</f>
        <v>1065975342580596736</v>
      </c>
      <c r="F75" s="11" t="s">
        <v>442</v>
      </c>
      <c r="G75" s="12"/>
      <c r="H75" s="12"/>
      <c r="I75" s="13">
        <v>0</v>
      </c>
      <c r="J75" s="13">
        <v>0</v>
      </c>
      <c r="K75" s="14" t="str">
        <f>HYPERLINK("http://twitter.com","Twitter Web Client")</f>
        <v>Twitter Web Client</v>
      </c>
      <c r="L75" s="13">
        <v>20</v>
      </c>
      <c r="M75" s="13">
        <v>132</v>
      </c>
      <c r="N75" s="13">
        <v>0</v>
      </c>
      <c r="O75" s="15"/>
      <c r="P75" s="6">
        <v>40680.699236111112</v>
      </c>
      <c r="Q75" s="12"/>
      <c r="R75" s="19"/>
      <c r="S75" s="12"/>
      <c r="T75" s="12"/>
      <c r="U75" s="10" t="str">
        <f>HYPERLINK("https://pbs.twimg.com/profile_images/934126307482460160/BiOcrPUD.jpg","View")</f>
        <v>View</v>
      </c>
    </row>
    <row r="76" spans="1:21" ht="20.399999999999999">
      <c r="A76" s="6">
        <v>43427.644675925927</v>
      </c>
      <c r="B76" s="7" t="str">
        <f>HYPERLINK("https://twitter.com/CaraotaDigital","@CaraotaDigital")</f>
        <v>@CaraotaDigital</v>
      </c>
      <c r="C76" s="8" t="s">
        <v>445</v>
      </c>
      <c r="D76" s="9" t="s">
        <v>446</v>
      </c>
      <c r="E76" s="10" t="str">
        <f>HYPERLINK("https://twitter.com/CaraotaDigital/status/1065975340911218689","1065975340911218689")</f>
        <v>1065975340911218689</v>
      </c>
      <c r="F76" s="11" t="s">
        <v>447</v>
      </c>
      <c r="G76" s="12"/>
      <c r="H76" s="12"/>
      <c r="I76" s="13">
        <v>0</v>
      </c>
      <c r="J76" s="13">
        <v>0</v>
      </c>
      <c r="K76" s="14" t="str">
        <f>HYPERLINK("https://about.twitter.com/products/tweetdeck","TweetDeck")</f>
        <v>TweetDeck</v>
      </c>
      <c r="L76" s="13">
        <v>1115993</v>
      </c>
      <c r="M76" s="13">
        <v>409</v>
      </c>
      <c r="N76" s="13">
        <v>2984</v>
      </c>
      <c r="O76" s="16" t="s">
        <v>26</v>
      </c>
      <c r="P76" s="6">
        <v>40386.147511574076</v>
      </c>
      <c r="Q76" s="17" t="s">
        <v>448</v>
      </c>
      <c r="R76" s="18" t="s">
        <v>449</v>
      </c>
      <c r="S76" s="11" t="s">
        <v>451</v>
      </c>
      <c r="T76" s="12"/>
      <c r="U76" s="10" t="str">
        <f>HYPERLINK("https://pbs.twimg.com/profile_images/1046543482054217729/GUKGkwV4.jpg","View")</f>
        <v>View</v>
      </c>
    </row>
    <row r="77" spans="1:21" ht="40.799999999999997">
      <c r="A77" s="6">
        <v>43427.641909722224</v>
      </c>
      <c r="B77" s="7" t="str">
        <f>HYPERLINK("https://twitter.com/er_josan","@er_josan")</f>
        <v>@er_josan</v>
      </c>
      <c r="C77" s="8" t="s">
        <v>452</v>
      </c>
      <c r="D77" s="9" t="s">
        <v>453</v>
      </c>
      <c r="E77" s="10" t="str">
        <f>HYPERLINK("https://twitter.com/er_josan/status/1065974339194036224","1065974339194036224")</f>
        <v>1065974339194036224</v>
      </c>
      <c r="F77" s="12"/>
      <c r="G77" s="12"/>
      <c r="H77" s="12"/>
      <c r="I77" s="13">
        <v>0</v>
      </c>
      <c r="J77" s="13">
        <v>0</v>
      </c>
      <c r="K77" s="14" t="str">
        <f>HYPERLINK("http://twitter.com/download/android","Twitter for Android")</f>
        <v>Twitter for Android</v>
      </c>
      <c r="L77" s="13">
        <v>77</v>
      </c>
      <c r="M77" s="13">
        <v>76</v>
      </c>
      <c r="N77" s="13">
        <v>0</v>
      </c>
      <c r="O77" s="15"/>
      <c r="P77" s="6">
        <v>41253.794525462959</v>
      </c>
      <c r="Q77" s="17" t="s">
        <v>28</v>
      </c>
      <c r="R77" s="18" t="s">
        <v>455</v>
      </c>
      <c r="S77" s="12"/>
      <c r="T77" s="12"/>
      <c r="U77" s="10" t="str">
        <f>HYPERLINK("https://pbs.twimg.com/profile_images/1062038088673832965/jIW5pbzc.jpg","View")</f>
        <v>View</v>
      </c>
    </row>
    <row r="78" spans="1:21" ht="40.799999999999997">
      <c r="A78" s="6">
        <v>43427.641886574071</v>
      </c>
      <c r="B78" s="7" t="str">
        <f>HYPERLINK("https://twitter.com/VeoInfo_","@VeoInfo_")</f>
        <v>@VeoInfo_</v>
      </c>
      <c r="C78" s="8" t="s">
        <v>456</v>
      </c>
      <c r="D78" s="9" t="s">
        <v>250</v>
      </c>
      <c r="E78" s="10" t="str">
        <f>HYPERLINK("https://twitter.com/VeoInfo_/status/1065974329245163520","1065974329245163520")</f>
        <v>1065974329245163520</v>
      </c>
      <c r="F78" s="11" t="s">
        <v>457</v>
      </c>
      <c r="G78" s="11" t="s">
        <v>458</v>
      </c>
      <c r="H78" s="12"/>
      <c r="I78" s="13">
        <v>0</v>
      </c>
      <c r="J78" s="13">
        <v>0</v>
      </c>
      <c r="K78" s="14" t="str">
        <f>HYPERLINK("http://publicize.wp.com/","WordPress.com")</f>
        <v>WordPress.com</v>
      </c>
      <c r="L78" s="13">
        <v>1135</v>
      </c>
      <c r="M78" s="13">
        <v>1139</v>
      </c>
      <c r="N78" s="13">
        <v>36</v>
      </c>
      <c r="O78" s="15"/>
      <c r="P78" s="6">
        <v>41881.101840277777</v>
      </c>
      <c r="Q78" s="17" t="s">
        <v>459</v>
      </c>
      <c r="R78" s="18" t="s">
        <v>460</v>
      </c>
      <c r="S78" s="11" t="s">
        <v>461</v>
      </c>
      <c r="T78" s="12"/>
      <c r="U78" s="10" t="str">
        <f>HYPERLINK("https://pbs.twimg.com/profile_images/601509372305485827/Val0dfGy.png","View")</f>
        <v>View</v>
      </c>
    </row>
    <row r="79" spans="1:21" ht="20.399999999999999">
      <c r="A79" s="6">
        <v>43427.641412037032</v>
      </c>
      <c r="B79" s="7" t="str">
        <f>HYPERLINK("https://twitter.com/YaniM85","@YaniM85")</f>
        <v>@YaniM85</v>
      </c>
      <c r="C79" s="8" t="s">
        <v>462</v>
      </c>
      <c r="D79" s="9" t="s">
        <v>463</v>
      </c>
      <c r="E79" s="10" t="str">
        <f>HYPERLINK("https://twitter.com/YaniM85/status/1065974158222217216","1065974158222217216")</f>
        <v>1065974158222217216</v>
      </c>
      <c r="F79" s="11" t="s">
        <v>464</v>
      </c>
      <c r="G79" s="12"/>
      <c r="H79" s="12"/>
      <c r="I79" s="13">
        <v>0</v>
      </c>
      <c r="J79" s="13">
        <v>0</v>
      </c>
      <c r="K79" s="14" t="str">
        <f>HYPERLINK("https://dlvrit.com/","dlvr.it")</f>
        <v>dlvr.it</v>
      </c>
      <c r="L79" s="13">
        <v>7600</v>
      </c>
      <c r="M79" s="13">
        <v>781</v>
      </c>
      <c r="N79" s="13">
        <v>75</v>
      </c>
      <c r="O79" s="15"/>
      <c r="P79" s="6">
        <v>40493.592245370368</v>
      </c>
      <c r="Q79" s="17" t="s">
        <v>465</v>
      </c>
      <c r="R79" s="18" t="s">
        <v>466</v>
      </c>
      <c r="S79" s="12"/>
      <c r="T79" s="12"/>
      <c r="U79" s="10" t="str">
        <f>HYPERLINK("https://pbs.twimg.com/profile_images/1060190296963801088/C-ZOPoUs.jpg","View")</f>
        <v>View</v>
      </c>
    </row>
    <row r="80" spans="1:21" ht="30.6">
      <c r="A80" s="6">
        <v>43427.641226851847</v>
      </c>
      <c r="B80" s="7" t="str">
        <f>HYPERLINK("https://twitter.com/ivhevia","@ivhevia")</f>
        <v>@ivhevia</v>
      </c>
      <c r="C80" s="8" t="s">
        <v>467</v>
      </c>
      <c r="D80" s="9" t="s">
        <v>468</v>
      </c>
      <c r="E80" s="10" t="str">
        <f>HYPERLINK("https://twitter.com/ivhevia/status/1065974091377770500","1065974091377770500")</f>
        <v>1065974091377770500</v>
      </c>
      <c r="F80" s="11" t="s">
        <v>469</v>
      </c>
      <c r="G80" s="12"/>
      <c r="H80" s="12"/>
      <c r="I80" s="13">
        <v>0</v>
      </c>
      <c r="J80" s="13">
        <v>0</v>
      </c>
      <c r="K80" s="14" t="str">
        <f>HYPERLINK("http://twitter.com","Twitter Web Client")</f>
        <v>Twitter Web Client</v>
      </c>
      <c r="L80" s="13">
        <v>367</v>
      </c>
      <c r="M80" s="13">
        <v>341</v>
      </c>
      <c r="N80" s="13">
        <v>3</v>
      </c>
      <c r="O80" s="15"/>
      <c r="P80" s="6">
        <v>40133.960925925923</v>
      </c>
      <c r="Q80" s="17" t="s">
        <v>470</v>
      </c>
      <c r="R80" s="18" t="s">
        <v>471</v>
      </c>
      <c r="S80" s="12"/>
      <c r="T80" s="12"/>
      <c r="U80" s="10" t="str">
        <f>HYPERLINK("https://pbs.twimg.com/profile_images/1027348409928298498/XBjEexzM.jpg","View")</f>
        <v>View</v>
      </c>
    </row>
    <row r="81" spans="1:21" ht="13.2">
      <c r="A81" s="6">
        <v>43427.641041666662</v>
      </c>
      <c r="B81" s="7" t="str">
        <f>HYPERLINK("https://twitter.com/valenpe69","@valenpe69")</f>
        <v>@valenpe69</v>
      </c>
      <c r="C81" s="8" t="s">
        <v>472</v>
      </c>
      <c r="D81" s="9" t="s">
        <v>473</v>
      </c>
      <c r="E81" s="10" t="str">
        <f>HYPERLINK("https://twitter.com/valenpe69/status/1065974023614394369","1065974023614394369")</f>
        <v>1065974023614394369</v>
      </c>
      <c r="F81" s="11" t="s">
        <v>474</v>
      </c>
      <c r="G81" s="12"/>
      <c r="H81" s="12"/>
      <c r="I81" s="13">
        <v>0</v>
      </c>
      <c r="J81" s="13">
        <v>0</v>
      </c>
      <c r="K81" s="14" t="str">
        <f>HYPERLINK("http://twitter.com/download/android","Twitter for Android")</f>
        <v>Twitter for Android</v>
      </c>
      <c r="L81" s="13">
        <v>15</v>
      </c>
      <c r="M81" s="13">
        <v>64</v>
      </c>
      <c r="N81" s="13">
        <v>0</v>
      </c>
      <c r="O81" s="15"/>
      <c r="P81" s="6">
        <v>41754.194027777776</v>
      </c>
      <c r="Q81" s="17" t="s">
        <v>40</v>
      </c>
      <c r="R81" s="18" t="s">
        <v>475</v>
      </c>
      <c r="S81" s="11" t="s">
        <v>476</v>
      </c>
      <c r="T81" s="12"/>
      <c r="U81" s="10" t="str">
        <f>HYPERLINK("https://pbs.twimg.com/profile_images/1027003171074240512/GJIiT8gT.jpg","View")</f>
        <v>View</v>
      </c>
    </row>
    <row r="82" spans="1:21" ht="40.799999999999997">
      <c r="A82" s="6">
        <v>43427.641030092593</v>
      </c>
      <c r="B82" s="7" t="str">
        <f>HYPERLINK("https://twitter.com/mara31gbarcenas","@mara31gbarcenas")</f>
        <v>@mara31gbarcenas</v>
      </c>
      <c r="C82" s="8" t="s">
        <v>477</v>
      </c>
      <c r="D82" s="9" t="s">
        <v>478</v>
      </c>
      <c r="E82" s="10" t="str">
        <f>HYPERLINK("https://twitter.com/mara31gbarcenas/status/1065974017750900736","1065974017750900736")</f>
        <v>1065974017750900736</v>
      </c>
      <c r="F82" s="11" t="s">
        <v>479</v>
      </c>
      <c r="G82" s="12"/>
      <c r="H82" s="12"/>
      <c r="I82" s="13">
        <v>0</v>
      </c>
      <c r="J82" s="13">
        <v>0</v>
      </c>
      <c r="K82" s="14" t="str">
        <f>HYPERLINK("http://twitter.com/download/iphone","Twitter for iPhone")</f>
        <v>Twitter for iPhone</v>
      </c>
      <c r="L82" s="13">
        <v>882</v>
      </c>
      <c r="M82" s="13">
        <v>510</v>
      </c>
      <c r="N82" s="13">
        <v>24</v>
      </c>
      <c r="O82" s="15"/>
      <c r="P82" s="6">
        <v>41597.802511574075</v>
      </c>
      <c r="Q82" s="17" t="s">
        <v>480</v>
      </c>
      <c r="R82" s="18" t="s">
        <v>481</v>
      </c>
      <c r="S82" s="12"/>
      <c r="T82" s="12"/>
      <c r="U82" s="10" t="str">
        <f>HYPERLINK("https://pbs.twimg.com/profile_images/744870730706391041/MqVw1CDY.jpg","View")</f>
        <v>View</v>
      </c>
    </row>
    <row r="83" spans="1:21" ht="30.6">
      <c r="A83" s="6">
        <v>43427.640694444446</v>
      </c>
      <c r="B83" s="7" t="str">
        <f>HYPERLINK("https://twitter.com/ultimocondor16","@ultimocondor16")</f>
        <v>@ultimocondor16</v>
      </c>
      <c r="C83" s="8" t="s">
        <v>482</v>
      </c>
      <c r="D83" s="9" t="s">
        <v>483</v>
      </c>
      <c r="E83" s="10" t="str">
        <f>HYPERLINK("https://twitter.com/ultimocondor16/status/1065973898414563329","1065973898414563329")</f>
        <v>1065973898414563329</v>
      </c>
      <c r="F83" s="11" t="s">
        <v>485</v>
      </c>
      <c r="G83" s="12"/>
      <c r="H83" s="12"/>
      <c r="I83" s="13">
        <v>0</v>
      </c>
      <c r="J83" s="13">
        <v>0</v>
      </c>
      <c r="K83" s="14" t="str">
        <f>HYPERLINK("http://publicize.wp.com/","WordPress.com")</f>
        <v>WordPress.com</v>
      </c>
      <c r="L83" s="13">
        <v>110</v>
      </c>
      <c r="M83" s="13">
        <v>363</v>
      </c>
      <c r="N83" s="13">
        <v>3</v>
      </c>
      <c r="O83" s="15"/>
      <c r="P83" s="6">
        <v>42458.066331018519</v>
      </c>
      <c r="Q83" s="12"/>
      <c r="R83" s="19"/>
      <c r="S83" s="11" t="s">
        <v>488</v>
      </c>
      <c r="T83" s="12"/>
      <c r="U83" s="10" t="str">
        <f>HYPERLINK("https://pbs.twimg.com/profile_images/714597898261045248/kxPgtx1f.jpg","View")</f>
        <v>View</v>
      </c>
    </row>
    <row r="84" spans="1:21" ht="13.2">
      <c r="A84" s="6">
        <v>43427.63962962963</v>
      </c>
      <c r="B84" s="7" t="str">
        <f>HYPERLINK("https://twitter.com/Esmmmeralda","@Esmmmeralda")</f>
        <v>@Esmmmeralda</v>
      </c>
      <c r="C84" s="8" t="s">
        <v>489</v>
      </c>
      <c r="D84" s="9" t="s">
        <v>204</v>
      </c>
      <c r="E84" s="10" t="str">
        <f>HYPERLINK("https://twitter.com/Esmmmeralda/status/1065973510970007552","1065973510970007552")</f>
        <v>1065973510970007552</v>
      </c>
      <c r="F84" s="11" t="s">
        <v>207</v>
      </c>
      <c r="G84" s="12"/>
      <c r="H84" s="12"/>
      <c r="I84" s="13">
        <v>0</v>
      </c>
      <c r="J84" s="13">
        <v>1</v>
      </c>
      <c r="K84" s="14" t="str">
        <f t="shared" ref="K84:K86" si="12">HYPERLINK("http://twitter.com/download/android","Twitter for Android")</f>
        <v>Twitter for Android</v>
      </c>
      <c r="L84" s="13">
        <v>31</v>
      </c>
      <c r="M84" s="13">
        <v>279</v>
      </c>
      <c r="N84" s="13">
        <v>0</v>
      </c>
      <c r="O84" s="15"/>
      <c r="P84" s="6">
        <v>40865.639560185184</v>
      </c>
      <c r="Q84" s="17" t="s">
        <v>490</v>
      </c>
      <c r="R84" s="18" t="s">
        <v>491</v>
      </c>
      <c r="S84" s="12"/>
      <c r="T84" s="12"/>
      <c r="U84" s="10" t="str">
        <f>HYPERLINK("https://pbs.twimg.com/profile_images/503589337716756480/VmFqKgse.jpeg","View")</f>
        <v>View</v>
      </c>
    </row>
    <row r="85" spans="1:21" ht="40.799999999999997">
      <c r="A85" s="6">
        <v>43427.639409722222</v>
      </c>
      <c r="B85" s="7" t="str">
        <f>HYPERLINK("https://twitter.com/montse7285","@montse7285")</f>
        <v>@montse7285</v>
      </c>
      <c r="C85" s="8" t="s">
        <v>492</v>
      </c>
      <c r="D85" s="9" t="s">
        <v>493</v>
      </c>
      <c r="E85" s="10" t="str">
        <f>HYPERLINK("https://twitter.com/montse7285/status/1065973433295605761","1065973433295605761")</f>
        <v>1065973433295605761</v>
      </c>
      <c r="F85" s="12"/>
      <c r="G85" s="12"/>
      <c r="H85" s="12"/>
      <c r="I85" s="13">
        <v>2</v>
      </c>
      <c r="J85" s="13">
        <v>2</v>
      </c>
      <c r="K85" s="14" t="str">
        <f t="shared" si="12"/>
        <v>Twitter for Android</v>
      </c>
      <c r="L85" s="13">
        <v>1411</v>
      </c>
      <c r="M85" s="13">
        <v>1076</v>
      </c>
      <c r="N85" s="13">
        <v>24</v>
      </c>
      <c r="O85" s="15"/>
      <c r="P85" s="6">
        <v>42375.698414351849</v>
      </c>
      <c r="Q85" s="12"/>
      <c r="R85" s="18" t="s">
        <v>494</v>
      </c>
      <c r="S85" s="12"/>
      <c r="T85" s="12"/>
      <c r="U85" s="10" t="str">
        <f>HYPERLINK("https://pbs.twimg.com/profile_images/960422378059812864/qprLy4Ks.jpg","View")</f>
        <v>View</v>
      </c>
    </row>
    <row r="86" spans="1:21" ht="40.799999999999997">
      <c r="A86" s="6">
        <v>43427.639351851853</v>
      </c>
      <c r="B86" s="7" t="str">
        <f>HYPERLINK("https://twitter.com/Online_Sergio","@Online_Sergio")</f>
        <v>@Online_Sergio</v>
      </c>
      <c r="C86" s="8" t="s">
        <v>495</v>
      </c>
      <c r="D86" s="9" t="s">
        <v>463</v>
      </c>
      <c r="E86" s="10" t="str">
        <f>HYPERLINK("https://twitter.com/Online_Sergio/status/1065973411913048064","1065973411913048064")</f>
        <v>1065973411913048064</v>
      </c>
      <c r="F86" s="11" t="s">
        <v>496</v>
      </c>
      <c r="G86" s="12"/>
      <c r="H86" s="12"/>
      <c r="I86" s="13">
        <v>0</v>
      </c>
      <c r="J86" s="13">
        <v>0</v>
      </c>
      <c r="K86" s="14" t="str">
        <f t="shared" si="12"/>
        <v>Twitter for Android</v>
      </c>
      <c r="L86" s="13">
        <v>24</v>
      </c>
      <c r="M86" s="13">
        <v>33</v>
      </c>
      <c r="N86" s="13">
        <v>2</v>
      </c>
      <c r="O86" s="15"/>
      <c r="P86" s="6">
        <v>42632.128634259258</v>
      </c>
      <c r="Q86" s="17" t="s">
        <v>497</v>
      </c>
      <c r="R86" s="18" t="s">
        <v>498</v>
      </c>
      <c r="S86" s="12"/>
      <c r="T86" s="12"/>
      <c r="U86" s="10" t="str">
        <f>HYPERLINK("https://pbs.twimg.com/profile_images/777676891767603200/KIBHYLzi.jpg","View")</f>
        <v>View</v>
      </c>
    </row>
    <row r="87" spans="1:21" ht="40.799999999999997">
      <c r="A87" s="6">
        <v>43427.638935185183</v>
      </c>
      <c r="B87" s="7" t="str">
        <f>HYPERLINK("https://twitter.com/TheObjective_es","@TheObjective_es")</f>
        <v>@TheObjective_es</v>
      </c>
      <c r="C87" s="8" t="s">
        <v>499</v>
      </c>
      <c r="D87" s="9" t="s">
        <v>500</v>
      </c>
      <c r="E87" s="10" t="str">
        <f>HYPERLINK("https://twitter.com/TheObjective_es/status/1065973259743703041","1065973259743703041")</f>
        <v>1065973259743703041</v>
      </c>
      <c r="F87" s="11" t="s">
        <v>501</v>
      </c>
      <c r="G87" s="11" t="s">
        <v>502</v>
      </c>
      <c r="H87" s="12"/>
      <c r="I87" s="13">
        <v>0</v>
      </c>
      <c r="J87" s="13">
        <v>0</v>
      </c>
      <c r="K87" s="14" t="str">
        <f>HYPERLINK("https://buffer.com","Buffer")</f>
        <v>Buffer</v>
      </c>
      <c r="L87" s="13">
        <v>50591</v>
      </c>
      <c r="M87" s="13">
        <v>709</v>
      </c>
      <c r="N87" s="13">
        <v>1216</v>
      </c>
      <c r="O87" s="15"/>
      <c r="P87" s="6">
        <v>41473.393935185188</v>
      </c>
      <c r="Q87" s="17" t="s">
        <v>436</v>
      </c>
      <c r="R87" s="18" t="s">
        <v>503</v>
      </c>
      <c r="S87" s="11" t="s">
        <v>504</v>
      </c>
      <c r="T87" s="12"/>
      <c r="U87" s="10" t="str">
        <f>HYPERLINK("https://pbs.twimg.com/profile_images/996760534082117632/umqvtWL2.jpg","View")</f>
        <v>View</v>
      </c>
    </row>
    <row r="88" spans="1:21" ht="20.399999999999999">
      <c r="A88" s="6">
        <v>43427.638749999998</v>
      </c>
      <c r="B88" s="7" t="str">
        <f>HYPERLINK("https://twitter.com/uncafe0001","@uncafe0001")</f>
        <v>@uncafe0001</v>
      </c>
      <c r="C88" s="8" t="s">
        <v>505</v>
      </c>
      <c r="D88" s="9" t="s">
        <v>506</v>
      </c>
      <c r="E88" s="10" t="str">
        <f>HYPERLINK("https://twitter.com/uncafe0001/status/1065973191976333312","1065973191976333312")</f>
        <v>1065973191976333312</v>
      </c>
      <c r="F88" s="12"/>
      <c r="G88" s="11" t="s">
        <v>507</v>
      </c>
      <c r="H88" s="12"/>
      <c r="I88" s="13">
        <v>0</v>
      </c>
      <c r="J88" s="13">
        <v>0</v>
      </c>
      <c r="K88" s="14" t="str">
        <f t="shared" ref="K88:K89" si="13">HYPERLINK("http://twitter.com/download/android","Twitter for Android")</f>
        <v>Twitter for Android</v>
      </c>
      <c r="L88" s="13">
        <v>8855</v>
      </c>
      <c r="M88" s="13">
        <v>6152</v>
      </c>
      <c r="N88" s="13">
        <v>62</v>
      </c>
      <c r="O88" s="15"/>
      <c r="P88" s="6">
        <v>39984.161307870367</v>
      </c>
      <c r="Q88" s="12"/>
      <c r="R88" s="18" t="s">
        <v>508</v>
      </c>
      <c r="S88" s="12"/>
      <c r="T88" s="12"/>
      <c r="U88" s="10" t="str">
        <f>HYPERLINK("https://pbs.twimg.com/profile_images/1043701620121456641/klNumwkt.jpg","View")</f>
        <v>View</v>
      </c>
    </row>
    <row r="89" spans="1:21" ht="40.799999999999997">
      <c r="A89" s="6">
        <v>43427.638738425929</v>
      </c>
      <c r="B89" s="7" t="str">
        <f>HYPERLINK("https://twitter.com/AlvaroMaeztu","@AlvaroMaeztu")</f>
        <v>@AlvaroMaeztu</v>
      </c>
      <c r="C89" s="8" t="s">
        <v>509</v>
      </c>
      <c r="D89" s="9" t="s">
        <v>510</v>
      </c>
      <c r="E89" s="10" t="str">
        <f>HYPERLINK("https://twitter.com/AlvaroMaeztu/status/1065973186481795072","1065973186481795072")</f>
        <v>1065973186481795072</v>
      </c>
      <c r="F89" s="12"/>
      <c r="G89" s="11" t="s">
        <v>511</v>
      </c>
      <c r="H89" s="12"/>
      <c r="I89" s="13">
        <v>1</v>
      </c>
      <c r="J89" s="13">
        <v>2</v>
      </c>
      <c r="K89" s="14" t="str">
        <f t="shared" si="13"/>
        <v>Twitter for Android</v>
      </c>
      <c r="L89" s="13">
        <v>388</v>
      </c>
      <c r="M89" s="13">
        <v>1856</v>
      </c>
      <c r="N89" s="13">
        <v>5</v>
      </c>
      <c r="O89" s="15"/>
      <c r="P89" s="6">
        <v>42644.928773148145</v>
      </c>
      <c r="Q89" s="17" t="s">
        <v>512</v>
      </c>
      <c r="R89" s="18" t="s">
        <v>513</v>
      </c>
      <c r="S89" s="12"/>
      <c r="T89" s="12"/>
      <c r="U89" s="10" t="str">
        <f>HYPERLINK("https://pbs.twimg.com/profile_images/784138934754344961/n8oReX6S.jpg","View")</f>
        <v>View</v>
      </c>
    </row>
    <row r="90" spans="1:21" ht="71.400000000000006">
      <c r="A90" s="6">
        <v>43427.638518518521</v>
      </c>
      <c r="B90" s="7" t="str">
        <f>HYPERLINK("https://twitter.com/erlik","@erlik")</f>
        <v>@erlik</v>
      </c>
      <c r="C90" s="8" t="s">
        <v>514</v>
      </c>
      <c r="D90" s="9" t="s">
        <v>515</v>
      </c>
      <c r="E90" s="10" t="str">
        <f>HYPERLINK("https://twitter.com/erlik/status/1065973107746398208","1065973107746398208")</f>
        <v>1065973107746398208</v>
      </c>
      <c r="F90" s="17" t="s">
        <v>516</v>
      </c>
      <c r="G90" s="12"/>
      <c r="H90" s="12"/>
      <c r="I90" s="13">
        <v>16</v>
      </c>
      <c r="J90" s="13">
        <v>14</v>
      </c>
      <c r="K90" s="14" t="str">
        <f>HYPERLINK("http://twitter.com/download/iphone","Twitter for iPhone")</f>
        <v>Twitter for iPhone</v>
      </c>
      <c r="L90" s="13">
        <v>3966</v>
      </c>
      <c r="M90" s="13">
        <v>831</v>
      </c>
      <c r="N90" s="13">
        <v>102</v>
      </c>
      <c r="O90" s="15"/>
      <c r="P90" s="6">
        <v>39914.816736111112</v>
      </c>
      <c r="Q90" s="17" t="s">
        <v>517</v>
      </c>
      <c r="R90" s="18" t="s">
        <v>518</v>
      </c>
      <c r="S90" s="11" t="s">
        <v>519</v>
      </c>
      <c r="T90" s="12"/>
      <c r="U90" s="10" t="str">
        <f>HYPERLINK("https://pbs.twimg.com/profile_images/995689148039213057/y3x7hpI2.jpg","View")</f>
        <v>View</v>
      </c>
    </row>
    <row r="91" spans="1:21" ht="51">
      <c r="A91" s="6">
        <v>43427.638159722221</v>
      </c>
      <c r="B91" s="7" t="str">
        <f>HYPERLINK("https://twitter.com/ESTEVEZPACO","@ESTEVEZPACO")</f>
        <v>@ESTEVEZPACO</v>
      </c>
      <c r="C91" s="8" t="s">
        <v>520</v>
      </c>
      <c r="D91" s="9" t="s">
        <v>521</v>
      </c>
      <c r="E91" s="10" t="str">
        <f>HYPERLINK("https://twitter.com/ESTEVEZPACO/status/1065972978079465472","1065972978079465472")</f>
        <v>1065972978079465472</v>
      </c>
      <c r="F91" s="11" t="s">
        <v>522</v>
      </c>
      <c r="G91" s="12"/>
      <c r="H91" s="12"/>
      <c r="I91" s="13">
        <v>0</v>
      </c>
      <c r="J91" s="13">
        <v>0</v>
      </c>
      <c r="K91" s="14" t="str">
        <f>HYPERLINK("http://twitter.com","Twitter Web Client")</f>
        <v>Twitter Web Client</v>
      </c>
      <c r="L91" s="13">
        <v>1990</v>
      </c>
      <c r="M91" s="13">
        <v>2928</v>
      </c>
      <c r="N91" s="13">
        <v>48</v>
      </c>
      <c r="O91" s="15"/>
      <c r="P91" s="6">
        <v>41041.548958333333</v>
      </c>
      <c r="Q91" s="17" t="s">
        <v>29</v>
      </c>
      <c r="R91" s="18" t="s">
        <v>523</v>
      </c>
      <c r="S91" s="11" t="s">
        <v>524</v>
      </c>
      <c r="T91" s="12"/>
      <c r="U91" s="10" t="str">
        <f>HYPERLINK("https://pbs.twimg.com/profile_images/1061674666341863424/QSLeLU_Z.jpg","View")</f>
        <v>View</v>
      </c>
    </row>
    <row r="92" spans="1:21" ht="20.399999999999999">
      <c r="A92" s="6">
        <v>43427.638067129628</v>
      </c>
      <c r="B92" s="7" t="str">
        <f>HYPERLINK("https://twitter.com/uncafe0001","@uncafe0001")</f>
        <v>@uncafe0001</v>
      </c>
      <c r="C92" s="8" t="s">
        <v>505</v>
      </c>
      <c r="D92" s="9" t="s">
        <v>525</v>
      </c>
      <c r="E92" s="10" t="str">
        <f>HYPERLINK("https://twitter.com/uncafe0001/status/1065972945732988928","1065972945732988928")</f>
        <v>1065972945732988928</v>
      </c>
      <c r="F92" s="12"/>
      <c r="G92" s="12"/>
      <c r="H92" s="12"/>
      <c r="I92" s="13">
        <v>0</v>
      </c>
      <c r="J92" s="13">
        <v>0</v>
      </c>
      <c r="K92" s="14" t="str">
        <f>HYPERLINK("http://twitter.com/download/android","Twitter for Android")</f>
        <v>Twitter for Android</v>
      </c>
      <c r="L92" s="13">
        <v>8855</v>
      </c>
      <c r="M92" s="13">
        <v>6152</v>
      </c>
      <c r="N92" s="13">
        <v>62</v>
      </c>
      <c r="O92" s="15"/>
      <c r="P92" s="6">
        <v>39984.161307870367</v>
      </c>
      <c r="Q92" s="12"/>
      <c r="R92" s="18" t="s">
        <v>508</v>
      </c>
      <c r="S92" s="12"/>
      <c r="T92" s="12"/>
      <c r="U92" s="10" t="str">
        <f>HYPERLINK("https://pbs.twimg.com/profile_images/1043701620121456641/klNumwkt.jpg","View")</f>
        <v>View</v>
      </c>
    </row>
    <row r="93" spans="1:21" ht="40.799999999999997">
      <c r="A93" s="6">
        <v>43427.637858796297</v>
      </c>
      <c r="B93" s="7" t="str">
        <f>HYPERLINK("https://twitter.com/talafree1","@talafree1")</f>
        <v>@talafree1</v>
      </c>
      <c r="C93" s="8" t="s">
        <v>526</v>
      </c>
      <c r="D93" s="9" t="s">
        <v>527</v>
      </c>
      <c r="E93" s="10" t="str">
        <f>HYPERLINK("https://twitter.com/talafree1/status/1065972870407487489","1065972870407487489")</f>
        <v>1065972870407487489</v>
      </c>
      <c r="F93" s="12"/>
      <c r="G93" s="12"/>
      <c r="H93" s="12"/>
      <c r="I93" s="13">
        <v>0</v>
      </c>
      <c r="J93" s="13">
        <v>0</v>
      </c>
      <c r="K93" s="14" t="str">
        <f>HYPERLINK("https://mobile.twitter.com","Twitter Lite")</f>
        <v>Twitter Lite</v>
      </c>
      <c r="L93" s="13">
        <v>503</v>
      </c>
      <c r="M93" s="13">
        <v>800</v>
      </c>
      <c r="N93" s="13">
        <v>26</v>
      </c>
      <c r="O93" s="15"/>
      <c r="P93" s="6">
        <v>40961.635081018518</v>
      </c>
      <c r="Q93" s="12"/>
      <c r="R93" s="18" t="s">
        <v>528</v>
      </c>
      <c r="S93" s="12"/>
      <c r="T93" s="12"/>
      <c r="U93" s="10" t="str">
        <f>HYPERLINK("https://pbs.twimg.com/profile_images/1845741492/Tux_Avatar__21_.png","View")</f>
        <v>View</v>
      </c>
    </row>
    <row r="94" spans="1:21" ht="40.799999999999997">
      <c r="A94" s="6">
        <v>43427.637858796297</v>
      </c>
      <c r="B94" s="7" t="str">
        <f>HYPERLINK("https://twitter.com/mipiqueras","@mipiqueras")</f>
        <v>@mipiqueras</v>
      </c>
      <c r="C94" s="8" t="s">
        <v>530</v>
      </c>
      <c r="D94" s="9" t="s">
        <v>531</v>
      </c>
      <c r="E94" s="10" t="str">
        <f>HYPERLINK("https://twitter.com/mipiqueras/status/1065972868725579776","1065972868725579776")</f>
        <v>1065972868725579776</v>
      </c>
      <c r="F94" s="11" t="s">
        <v>532</v>
      </c>
      <c r="G94" s="12"/>
      <c r="H94" s="12"/>
      <c r="I94" s="13">
        <v>0</v>
      </c>
      <c r="J94" s="13">
        <v>1</v>
      </c>
      <c r="K94" s="14" t="str">
        <f t="shared" ref="K94:K96" si="14">HYPERLINK("http://twitter.com","Twitter Web Client")</f>
        <v>Twitter Web Client</v>
      </c>
      <c r="L94" s="13">
        <v>2101</v>
      </c>
      <c r="M94" s="13">
        <v>1657</v>
      </c>
      <c r="N94" s="13">
        <v>89</v>
      </c>
      <c r="O94" s="15"/>
      <c r="P94" s="6">
        <v>40681.970763888887</v>
      </c>
      <c r="Q94" s="12"/>
      <c r="R94" s="18" t="s">
        <v>533</v>
      </c>
      <c r="S94" s="12"/>
      <c r="T94" s="12"/>
      <c r="U94" s="10" t="str">
        <f>HYPERLINK("https://pbs.twimg.com/profile_images/815694201623113728/4-NT9ZgN.jpg","View")</f>
        <v>View</v>
      </c>
    </row>
    <row r="95" spans="1:21" ht="40.799999999999997">
      <c r="A95" s="6">
        <v>43427.637499999997</v>
      </c>
      <c r="B95" s="7" t="str">
        <f>HYPERLINK("https://twitter.com/CUBAONU","@CUBAONU")</f>
        <v>@CUBAONU</v>
      </c>
      <c r="C95" s="8" t="s">
        <v>534</v>
      </c>
      <c r="D95" s="9" t="s">
        <v>535</v>
      </c>
      <c r="E95" s="10" t="str">
        <f>HYPERLINK("https://twitter.com/CUBAONU/status/1065972737389273088","1065972737389273088")</f>
        <v>1065972737389273088</v>
      </c>
      <c r="F95" s="12"/>
      <c r="G95" s="11" t="s">
        <v>536</v>
      </c>
      <c r="H95" s="12"/>
      <c r="I95" s="13">
        <v>0</v>
      </c>
      <c r="J95" s="13">
        <v>1</v>
      </c>
      <c r="K95" s="14" t="str">
        <f t="shared" si="14"/>
        <v>Twitter Web Client</v>
      </c>
      <c r="L95" s="13">
        <v>13582</v>
      </c>
      <c r="M95" s="13">
        <v>2639</v>
      </c>
      <c r="N95" s="13">
        <v>207</v>
      </c>
      <c r="O95" s="16" t="s">
        <v>26</v>
      </c>
      <c r="P95" s="6">
        <v>41437.967743055553</v>
      </c>
      <c r="Q95" s="17" t="s">
        <v>537</v>
      </c>
      <c r="R95" s="18" t="s">
        <v>538</v>
      </c>
      <c r="S95" s="11" t="s">
        <v>539</v>
      </c>
      <c r="T95" s="12"/>
      <c r="U95" s="10" t="str">
        <f>HYPERLINK("https://pbs.twimg.com/profile_images/806899847324401664/Shws9wKh.jpg","View")</f>
        <v>View</v>
      </c>
    </row>
    <row r="96" spans="1:21" ht="13.2">
      <c r="A96" s="6">
        <v>43427.637476851851</v>
      </c>
      <c r="B96" s="7" t="str">
        <f>HYPERLINK("https://twitter.com/catymu2","@catymu2")</f>
        <v>@catymu2</v>
      </c>
      <c r="C96" s="8" t="s">
        <v>542</v>
      </c>
      <c r="D96" s="9" t="s">
        <v>204</v>
      </c>
      <c r="E96" s="10" t="str">
        <f>HYPERLINK("https://twitter.com/catymu2/status/1065972731550650373","1065972731550650373")</f>
        <v>1065972731550650373</v>
      </c>
      <c r="F96" s="11" t="s">
        <v>207</v>
      </c>
      <c r="G96" s="12"/>
      <c r="H96" s="12"/>
      <c r="I96" s="13">
        <v>0</v>
      </c>
      <c r="J96" s="13">
        <v>0</v>
      </c>
      <c r="K96" s="14" t="str">
        <f t="shared" si="14"/>
        <v>Twitter Web Client</v>
      </c>
      <c r="L96" s="13">
        <v>43</v>
      </c>
      <c r="M96" s="13">
        <v>128</v>
      </c>
      <c r="N96" s="13">
        <v>0</v>
      </c>
      <c r="O96" s="15"/>
      <c r="P96" s="6">
        <v>42432.456226851849</v>
      </c>
      <c r="Q96" s="17" t="s">
        <v>28</v>
      </c>
      <c r="R96" s="19"/>
      <c r="S96" s="12"/>
      <c r="T96" s="12"/>
      <c r="U96" s="10" t="str">
        <f>HYPERLINK("https://pbs.twimg.com/profile_images/1009103258785402882/34q9w8XC.jpg","View")</f>
        <v>View</v>
      </c>
    </row>
    <row r="97" spans="1:21" ht="51">
      <c r="A97" s="6">
        <v>43427.63652777778</v>
      </c>
      <c r="B97" s="7" t="str">
        <f>HYPERLINK("https://twitter.com/sai54","@sai54")</f>
        <v>@sai54</v>
      </c>
      <c r="C97" s="8" t="s">
        <v>543</v>
      </c>
      <c r="D97" s="9" t="s">
        <v>544</v>
      </c>
      <c r="E97" s="10" t="str">
        <f>HYPERLINK("https://twitter.com/sai54/status/1065972388138033153","1065972388138033153")</f>
        <v>1065972388138033153</v>
      </c>
      <c r="F97" s="17" t="s">
        <v>545</v>
      </c>
      <c r="G97" s="12"/>
      <c r="H97" s="12"/>
      <c r="I97" s="13">
        <v>0</v>
      </c>
      <c r="J97" s="13">
        <v>2</v>
      </c>
      <c r="K97" s="14" t="str">
        <f>HYPERLINK("http://twitter.com/download/android","Twitter for Android")</f>
        <v>Twitter for Android</v>
      </c>
      <c r="L97" s="13">
        <v>786</v>
      </c>
      <c r="M97" s="13">
        <v>1135</v>
      </c>
      <c r="N97" s="13">
        <v>25</v>
      </c>
      <c r="O97" s="15"/>
      <c r="P97" s="6">
        <v>39253.794571759259</v>
      </c>
      <c r="Q97" s="17" t="s">
        <v>28</v>
      </c>
      <c r="R97" s="18" t="s">
        <v>546</v>
      </c>
      <c r="S97" s="11" t="s">
        <v>547</v>
      </c>
      <c r="T97" s="12"/>
      <c r="U97" s="10" t="str">
        <f>HYPERLINK("https://pbs.twimg.com/profile_images/1022888899465682944/GmBUdSPS.jpg","View")</f>
        <v>View</v>
      </c>
    </row>
    <row r="98" spans="1:21" ht="20.399999999999999">
      <c r="A98" s="6">
        <v>43427.636307870373</v>
      </c>
      <c r="B98" s="7" t="str">
        <f>HYPERLINK("https://twitter.com/noticanarias","@noticanarias")</f>
        <v>@noticanarias</v>
      </c>
      <c r="C98" s="8" t="s">
        <v>548</v>
      </c>
      <c r="D98" s="9" t="s">
        <v>549</v>
      </c>
      <c r="E98" s="10" t="str">
        <f>HYPERLINK("https://twitter.com/noticanarias/status/1065972307334651907","1065972307334651907")</f>
        <v>1065972307334651907</v>
      </c>
      <c r="F98" s="11" t="s">
        <v>551</v>
      </c>
      <c r="G98" s="12"/>
      <c r="H98" s="12"/>
      <c r="I98" s="13">
        <v>0</v>
      </c>
      <c r="J98" s="13">
        <v>0</v>
      </c>
      <c r="K98" s="14" t="str">
        <f>HYPERLINK("https://www.google.com/","Google")</f>
        <v>Google</v>
      </c>
      <c r="L98" s="13">
        <v>3345</v>
      </c>
      <c r="M98" s="13">
        <v>374</v>
      </c>
      <c r="N98" s="13">
        <v>109</v>
      </c>
      <c r="O98" s="15"/>
      <c r="P98" s="6">
        <v>39920.166041666671</v>
      </c>
      <c r="Q98" s="17" t="s">
        <v>552</v>
      </c>
      <c r="R98" s="18" t="s">
        <v>553</v>
      </c>
      <c r="S98" s="11" t="s">
        <v>554</v>
      </c>
      <c r="T98" s="12"/>
      <c r="U98" s="10" t="str">
        <f>HYPERLINK("https://pbs.twimg.com/profile_images/268260630/img_noticanarias2.gif","View")</f>
        <v>View</v>
      </c>
    </row>
    <row r="99" spans="1:21" ht="40.799999999999997">
      <c r="A99" s="6">
        <v>43427.636111111111</v>
      </c>
      <c r="B99" s="7" t="str">
        <f>HYPERLINK("https://twitter.com/fenixssf","@fenixssf")</f>
        <v>@fenixssf</v>
      </c>
      <c r="C99" s="8" t="s">
        <v>555</v>
      </c>
      <c r="D99" s="9" t="s">
        <v>250</v>
      </c>
      <c r="E99" s="10" t="str">
        <f>HYPERLINK("https://twitter.com/fenixssf/status/1065972237470261248","1065972237470261248")</f>
        <v>1065972237470261248</v>
      </c>
      <c r="F99" s="11" t="s">
        <v>557</v>
      </c>
      <c r="G99" s="12"/>
      <c r="H99" s="12"/>
      <c r="I99" s="13">
        <v>0</v>
      </c>
      <c r="J99" s="13">
        <v>0</v>
      </c>
      <c r="K99" s="14" t="str">
        <f>HYPERLINK("http://twitter.com/download/android","Twitter for Android")</f>
        <v>Twitter for Android</v>
      </c>
      <c r="L99" s="13">
        <v>1143</v>
      </c>
      <c r="M99" s="13">
        <v>1097</v>
      </c>
      <c r="N99" s="13">
        <v>27</v>
      </c>
      <c r="O99" s="15"/>
      <c r="P99" s="6">
        <v>42561.760509259257</v>
      </c>
      <c r="Q99" s="17" t="s">
        <v>558</v>
      </c>
      <c r="R99" s="18" t="s">
        <v>559</v>
      </c>
      <c r="S99" s="11" t="s">
        <v>560</v>
      </c>
      <c r="T99" s="12"/>
      <c r="U99" s="10" t="str">
        <f>HYPERLINK("https://pbs.twimg.com/profile_images/1010234797216628737/6lcTzpO0.jpg","View")</f>
        <v>View</v>
      </c>
    </row>
    <row r="100" spans="1:21" ht="40.799999999999997">
      <c r="A100" s="6">
        <v>43427.636006944449</v>
      </c>
      <c r="B100" s="7" t="str">
        <f>HYPERLINK("https://twitter.com/slaymultimedios","@slaymultimedios")</f>
        <v>@slaymultimedios</v>
      </c>
      <c r="C100" s="8" t="s">
        <v>562</v>
      </c>
      <c r="D100" s="9" t="s">
        <v>563</v>
      </c>
      <c r="E100" s="10" t="str">
        <f>HYPERLINK("https://twitter.com/slaymultimedios/status/1065972198224142336","1065972198224142336")</f>
        <v>1065972198224142336</v>
      </c>
      <c r="F100" s="11" t="s">
        <v>564</v>
      </c>
      <c r="G100" s="12"/>
      <c r="H100" s="12"/>
      <c r="I100" s="13">
        <v>0</v>
      </c>
      <c r="J100" s="13">
        <v>0</v>
      </c>
      <c r="K100" s="14" t="str">
        <f>HYPERLINK("http://www.slaymultimedios.com","WebSiteSlayMultimedios")</f>
        <v>WebSiteSlayMultimedios</v>
      </c>
      <c r="L100" s="13">
        <v>41749</v>
      </c>
      <c r="M100" s="13">
        <v>178</v>
      </c>
      <c r="N100" s="13">
        <v>410</v>
      </c>
      <c r="O100" s="15"/>
      <c r="P100" s="6">
        <v>40209.93105324074</v>
      </c>
      <c r="Q100" s="17" t="s">
        <v>565</v>
      </c>
      <c r="R100" s="18" t="s">
        <v>566</v>
      </c>
      <c r="S100" s="11" t="s">
        <v>567</v>
      </c>
      <c r="T100" s="12"/>
      <c r="U100" s="10" t="str">
        <f>HYPERLINK("https://pbs.twimg.com/profile_images/714690465916817408/1NXaiuED.jpg","View")</f>
        <v>View</v>
      </c>
    </row>
    <row r="101" spans="1:21" ht="40.799999999999997">
      <c r="A101" s="6">
        <v>43427.635868055557</v>
      </c>
      <c r="B101" s="7" t="str">
        <f>HYPERLINK("https://twitter.com/mipiqueras","@mipiqueras")</f>
        <v>@mipiqueras</v>
      </c>
      <c r="C101" s="8" t="s">
        <v>530</v>
      </c>
      <c r="D101" s="9" t="s">
        <v>568</v>
      </c>
      <c r="E101" s="10" t="str">
        <f>HYPERLINK("https://twitter.com/mipiqueras/status/1065972149469483009","1065972149469483009")</f>
        <v>1065972149469483009</v>
      </c>
      <c r="F101" s="11" t="s">
        <v>569</v>
      </c>
      <c r="G101" s="12"/>
      <c r="H101" s="12"/>
      <c r="I101" s="13">
        <v>0</v>
      </c>
      <c r="J101" s="13">
        <v>0</v>
      </c>
      <c r="K101" s="14" t="str">
        <f>HYPERLINK("http://twitter.com","Twitter Web Client")</f>
        <v>Twitter Web Client</v>
      </c>
      <c r="L101" s="13">
        <v>2101</v>
      </c>
      <c r="M101" s="13">
        <v>1657</v>
      </c>
      <c r="N101" s="13">
        <v>89</v>
      </c>
      <c r="O101" s="15"/>
      <c r="P101" s="6">
        <v>40681.970763888887</v>
      </c>
      <c r="Q101" s="12"/>
      <c r="R101" s="18" t="s">
        <v>533</v>
      </c>
      <c r="S101" s="12"/>
      <c r="T101" s="12"/>
      <c r="U101" s="10" t="str">
        <f>HYPERLINK("https://pbs.twimg.com/profile_images/815694201623113728/4-NT9ZgN.jpg","View")</f>
        <v>View</v>
      </c>
    </row>
    <row r="102" spans="1:21" ht="51">
      <c r="A102" s="6">
        <v>43427.635358796295</v>
      </c>
      <c r="B102" s="7" t="str">
        <f>HYPERLINK("https://twitter.com/conxi_perez","@conxi_perez")</f>
        <v>@conxi_perez</v>
      </c>
      <c r="C102" s="8" t="s">
        <v>572</v>
      </c>
      <c r="D102" s="9" t="s">
        <v>573</v>
      </c>
      <c r="E102" s="10" t="str">
        <f>HYPERLINK("https://twitter.com/conxi_perez/status/1065971961367539712","1065971961367539712")</f>
        <v>1065971961367539712</v>
      </c>
      <c r="F102" s="12"/>
      <c r="G102" s="12"/>
      <c r="H102" s="12"/>
      <c r="I102" s="13">
        <v>1</v>
      </c>
      <c r="J102" s="13">
        <v>0</v>
      </c>
      <c r="K102" s="14" t="str">
        <f>HYPERLINK("https://mobile.twitter.com","Twitter Lite")</f>
        <v>Twitter Lite</v>
      </c>
      <c r="L102" s="13">
        <v>528</v>
      </c>
      <c r="M102" s="13">
        <v>1248</v>
      </c>
      <c r="N102" s="13">
        <v>3</v>
      </c>
      <c r="O102" s="15"/>
      <c r="P102" s="6">
        <v>40458.493171296301</v>
      </c>
      <c r="Q102" s="17" t="s">
        <v>576</v>
      </c>
      <c r="R102" s="19"/>
      <c r="S102" s="12"/>
      <c r="T102" s="12"/>
      <c r="U102" s="10" t="str">
        <f>HYPERLINK("https://pbs.twimg.com/profile_images/1000746298667126784/mWk6JC_X.jpg","View")</f>
        <v>View</v>
      </c>
    </row>
    <row r="103" spans="1:21" ht="40.799999999999997">
      <c r="A103" s="6">
        <v>43427.635138888887</v>
      </c>
      <c r="B103" s="7" t="str">
        <f>HYPERLINK("https://twitter.com/slaymultimedios","@slaymultimedios")</f>
        <v>@slaymultimedios</v>
      </c>
      <c r="C103" s="8" t="s">
        <v>562</v>
      </c>
      <c r="D103" s="9" t="s">
        <v>577</v>
      </c>
      <c r="E103" s="10" t="str">
        <f>HYPERLINK("https://twitter.com/slaymultimedios/status/1065971882619559936","1065971882619559936")</f>
        <v>1065971882619559936</v>
      </c>
      <c r="F103" s="11" t="s">
        <v>578</v>
      </c>
      <c r="G103" s="12"/>
      <c r="H103" s="12"/>
      <c r="I103" s="13">
        <v>0</v>
      </c>
      <c r="J103" s="13">
        <v>0</v>
      </c>
      <c r="K103" s="14" t="str">
        <f>HYPERLINK("http://www.slaymultimedios.com","WebSiteSlayMultimedios")</f>
        <v>WebSiteSlayMultimedios</v>
      </c>
      <c r="L103" s="13">
        <v>41749</v>
      </c>
      <c r="M103" s="13">
        <v>178</v>
      </c>
      <c r="N103" s="13">
        <v>410</v>
      </c>
      <c r="O103" s="15"/>
      <c r="P103" s="6">
        <v>40209.93105324074</v>
      </c>
      <c r="Q103" s="17" t="s">
        <v>565</v>
      </c>
      <c r="R103" s="18" t="s">
        <v>566</v>
      </c>
      <c r="S103" s="11" t="s">
        <v>567</v>
      </c>
      <c r="T103" s="12"/>
      <c r="U103" s="10" t="str">
        <f>HYPERLINK("https://pbs.twimg.com/profile_images/714690465916817408/1NXaiuED.jpg","View")</f>
        <v>View</v>
      </c>
    </row>
    <row r="104" spans="1:21" ht="30.6">
      <c r="A104" s="6">
        <v>43427.63490740741</v>
      </c>
      <c r="B104" s="7" t="str">
        <f>HYPERLINK("https://twitter.com/VTactualVE","@VTactualVE")</f>
        <v>@VTactualVE</v>
      </c>
      <c r="C104" s="8" t="s">
        <v>579</v>
      </c>
      <c r="D104" s="9" t="s">
        <v>580</v>
      </c>
      <c r="E104" s="10" t="str">
        <f>HYPERLINK("https://twitter.com/VTactualVE/status/1065971798834102275","1065971798834102275")</f>
        <v>1065971798834102275</v>
      </c>
      <c r="F104" s="11" t="s">
        <v>581</v>
      </c>
      <c r="G104" s="11" t="s">
        <v>582</v>
      </c>
      <c r="H104" s="12"/>
      <c r="I104" s="13">
        <v>0</v>
      </c>
      <c r="J104" s="13">
        <v>0</v>
      </c>
      <c r="K104" s="14" t="str">
        <f>HYPERLINK("https://www.vtactual.com/es/","VTActual Web")</f>
        <v>VTActual Web</v>
      </c>
      <c r="L104" s="13">
        <v>725</v>
      </c>
      <c r="M104" s="13">
        <v>298</v>
      </c>
      <c r="N104" s="13">
        <v>3</v>
      </c>
      <c r="O104" s="15"/>
      <c r="P104" s="6">
        <v>42664.945416666669</v>
      </c>
      <c r="Q104" s="17" t="s">
        <v>583</v>
      </c>
      <c r="R104" s="18" t="s">
        <v>584</v>
      </c>
      <c r="S104" s="11" t="s">
        <v>585</v>
      </c>
      <c r="T104" s="12"/>
      <c r="U104" s="10" t="str">
        <f>HYPERLINK("https://pbs.twimg.com/profile_images/883426713673367556/OiuHTMm5.jpg","View")</f>
        <v>View</v>
      </c>
    </row>
    <row r="105" spans="1:21" ht="40.799999999999997">
      <c r="A105" s="6">
        <v>43427.633854166663</v>
      </c>
      <c r="B105" s="7" t="str">
        <f>HYPERLINK("https://twitter.com/NemesisSXX","@NemesisSXX")</f>
        <v>@NemesisSXX</v>
      </c>
      <c r="C105" s="8" t="s">
        <v>586</v>
      </c>
      <c r="D105" s="9" t="s">
        <v>204</v>
      </c>
      <c r="E105" s="10" t="str">
        <f>HYPERLINK("https://twitter.com/NemesisSXX/status/1065971418121347072","1065971418121347072")</f>
        <v>1065971418121347072</v>
      </c>
      <c r="F105" s="11" t="s">
        <v>207</v>
      </c>
      <c r="G105" s="12"/>
      <c r="H105" s="12"/>
      <c r="I105" s="13">
        <v>0</v>
      </c>
      <c r="J105" s="13">
        <v>0</v>
      </c>
      <c r="K105" s="14" t="str">
        <f>HYPERLINK("http://twitter.com","Twitter Web Client")</f>
        <v>Twitter Web Client</v>
      </c>
      <c r="L105" s="13">
        <v>145</v>
      </c>
      <c r="M105" s="13">
        <v>185</v>
      </c>
      <c r="N105" s="13">
        <v>3</v>
      </c>
      <c r="O105" s="15"/>
      <c r="P105" s="6">
        <v>41804.743564814817</v>
      </c>
      <c r="Q105" s="12"/>
      <c r="R105" s="18" t="s">
        <v>587</v>
      </c>
      <c r="S105" s="12"/>
      <c r="T105" s="12"/>
      <c r="U105" s="16" t="s">
        <v>373</v>
      </c>
    </row>
    <row r="106" spans="1:21" ht="30.6">
      <c r="A106" s="6">
        <v>43427.633854166663</v>
      </c>
      <c r="B106" s="7" t="str">
        <f>HYPERLINK("https://twitter.com/franjv86","@franjv86")</f>
        <v>@franjv86</v>
      </c>
      <c r="C106" s="8" t="s">
        <v>588</v>
      </c>
      <c r="D106" s="9" t="s">
        <v>589</v>
      </c>
      <c r="E106" s="10" t="str">
        <f>HYPERLINK("https://twitter.com/franjv86/status/1065971416263200768","1065971416263200768")</f>
        <v>1065971416263200768</v>
      </c>
      <c r="F106" s="11" t="s">
        <v>557</v>
      </c>
      <c r="G106" s="12"/>
      <c r="H106" s="12"/>
      <c r="I106" s="13">
        <v>0</v>
      </c>
      <c r="J106" s="13">
        <v>0</v>
      </c>
      <c r="K106" s="14" t="str">
        <f>HYPERLINK("http://twitter.com/download/iphone","Twitter for iPhone")</f>
        <v>Twitter for iPhone</v>
      </c>
      <c r="L106" s="13">
        <v>377</v>
      </c>
      <c r="M106" s="13">
        <v>424</v>
      </c>
      <c r="N106" s="13">
        <v>19</v>
      </c>
      <c r="O106" s="15"/>
      <c r="P106" s="6">
        <v>40142.73600694444</v>
      </c>
      <c r="Q106" s="17" t="s">
        <v>590</v>
      </c>
      <c r="R106" s="18" t="s">
        <v>591</v>
      </c>
      <c r="S106" s="12"/>
      <c r="T106" s="12"/>
      <c r="U106" s="10" t="str">
        <f>HYPERLINK("https://pbs.twimg.com/profile_images/1043565278586638336/aKXVXtE0.jpg","View")</f>
        <v>View</v>
      </c>
    </row>
    <row r="107" spans="1:21" ht="20.399999999999999">
      <c r="A107" s="6">
        <v>43427.633668981478</v>
      </c>
      <c r="B107" s="7" t="str">
        <f>HYPERLINK("https://twitter.com/TuiteoMerida","@TuiteoMerida")</f>
        <v>@TuiteoMerida</v>
      </c>
      <c r="C107" s="8" t="s">
        <v>592</v>
      </c>
      <c r="D107" s="9" t="s">
        <v>594</v>
      </c>
      <c r="E107" s="10" t="str">
        <f>HYPERLINK("https://twitter.com/TuiteoMerida/status/1065971352761454592","1065971352761454592")</f>
        <v>1065971352761454592</v>
      </c>
      <c r="F107" s="11" t="s">
        <v>595</v>
      </c>
      <c r="G107" s="12"/>
      <c r="H107" s="12"/>
      <c r="I107" s="13">
        <v>0</v>
      </c>
      <c r="J107" s="13">
        <v>0</v>
      </c>
      <c r="K107" s="14" t="str">
        <f>HYPERLINK("https://ifttt.com","IFTTT")</f>
        <v>IFTTT</v>
      </c>
      <c r="L107" s="13">
        <v>13240</v>
      </c>
      <c r="M107" s="13">
        <v>337</v>
      </c>
      <c r="N107" s="13">
        <v>209</v>
      </c>
      <c r="O107" s="15"/>
      <c r="P107" s="6">
        <v>41553.921435185184</v>
      </c>
      <c r="Q107" s="17" t="s">
        <v>104</v>
      </c>
      <c r="R107" s="18" t="s">
        <v>598</v>
      </c>
      <c r="S107" s="12"/>
      <c r="T107" s="12"/>
      <c r="U107" s="10" t="str">
        <f>HYPERLINK("https://pbs.twimg.com/profile_images/508444298455425024/vDmfC7j8.png","View")</f>
        <v>View</v>
      </c>
    </row>
    <row r="108" spans="1:21" ht="20.399999999999999">
      <c r="A108" s="6">
        <v>43427.633483796293</v>
      </c>
      <c r="B108" s="7" t="str">
        <f>HYPERLINK("https://twitter.com/periodistadigit","@periodistadigit")</f>
        <v>@periodistadigit</v>
      </c>
      <c r="C108" s="8" t="s">
        <v>599</v>
      </c>
      <c r="D108" s="9" t="s">
        <v>600</v>
      </c>
      <c r="E108" s="10" t="str">
        <f>HYPERLINK("https://twitter.com/periodistadigit/status/1065971282330693632","1065971282330693632")</f>
        <v>1065971282330693632</v>
      </c>
      <c r="F108" s="11" t="s">
        <v>69</v>
      </c>
      <c r="G108" s="12"/>
      <c r="H108" s="12"/>
      <c r="I108" s="13">
        <v>8</v>
      </c>
      <c r="J108" s="13">
        <v>6</v>
      </c>
      <c r="K108" s="14" t="str">
        <f t="shared" ref="K108:K109" si="15">HYPERLINK("https://about.twitter.com/products/tweetdeck","TweetDeck")</f>
        <v>TweetDeck</v>
      </c>
      <c r="L108" s="13">
        <v>56097</v>
      </c>
      <c r="M108" s="13">
        <v>3791</v>
      </c>
      <c r="N108" s="13">
        <v>1469</v>
      </c>
      <c r="O108" s="16" t="s">
        <v>26</v>
      </c>
      <c r="P108" s="6">
        <v>40084.916296296295</v>
      </c>
      <c r="Q108" s="17" t="s">
        <v>72</v>
      </c>
      <c r="R108" s="18" t="s">
        <v>601</v>
      </c>
      <c r="S108" s="11" t="s">
        <v>74</v>
      </c>
      <c r="T108" s="12"/>
      <c r="U108" s="10" t="str">
        <f>HYPERLINK("https://pbs.twimg.com/profile_images/1913331873/periodista-digital.jpg","View")</f>
        <v>View</v>
      </c>
    </row>
    <row r="109" spans="1:21" ht="13.2">
      <c r="A109" s="6">
        <v>43427.633402777778</v>
      </c>
      <c r="B109" s="7" t="str">
        <f>HYPERLINK("https://twitter.com/juanvelarde72","@juanvelarde72")</f>
        <v>@juanvelarde72</v>
      </c>
      <c r="C109" s="8" t="s">
        <v>603</v>
      </c>
      <c r="D109" s="9" t="s">
        <v>600</v>
      </c>
      <c r="E109" s="10" t="str">
        <f>HYPERLINK("https://twitter.com/juanvelarde72/status/1065971255709437952","1065971255709437952")</f>
        <v>1065971255709437952</v>
      </c>
      <c r="F109" s="11" t="s">
        <v>69</v>
      </c>
      <c r="G109" s="12"/>
      <c r="H109" s="12"/>
      <c r="I109" s="13">
        <v>0</v>
      </c>
      <c r="J109" s="13">
        <v>0</v>
      </c>
      <c r="K109" s="14" t="str">
        <f t="shared" si="15"/>
        <v>TweetDeck</v>
      </c>
      <c r="L109" s="13">
        <v>1615</v>
      </c>
      <c r="M109" s="13">
        <v>1578</v>
      </c>
      <c r="N109" s="13">
        <v>22</v>
      </c>
      <c r="O109" s="15"/>
      <c r="P109" s="6">
        <v>42289.95722222222</v>
      </c>
      <c r="Q109" s="17" t="s">
        <v>141</v>
      </c>
      <c r="R109" s="19"/>
      <c r="S109" s="11" t="s">
        <v>604</v>
      </c>
      <c r="T109" s="12"/>
      <c r="U109" s="10" t="str">
        <f>HYPERLINK("https://pbs.twimg.com/profile_images/996096460885233664/fOo4zl1U.jpg","View")</f>
        <v>View</v>
      </c>
    </row>
    <row r="110" spans="1:21" ht="51">
      <c r="A110" s="6">
        <v>43427.633009259254</v>
      </c>
      <c r="B110" s="7" t="str">
        <f>HYPERLINK("https://twitter.com/angeldeolavide","@angeldeolavide")</f>
        <v>@angeldeolavide</v>
      </c>
      <c r="C110" s="8" t="s">
        <v>605</v>
      </c>
      <c r="D110" s="9" t="s">
        <v>606</v>
      </c>
      <c r="E110" s="10" t="str">
        <f>HYPERLINK("https://twitter.com/angeldeolavide/status/1065971111668736005","1065971111668736005")</f>
        <v>1065971111668736005</v>
      </c>
      <c r="F110" s="11" t="s">
        <v>608</v>
      </c>
      <c r="G110" s="12"/>
      <c r="H110" s="12"/>
      <c r="I110" s="13">
        <v>0</v>
      </c>
      <c r="J110" s="13">
        <v>0</v>
      </c>
      <c r="K110" s="14" t="str">
        <f>HYPERLINK("http://twitter.com/download/android","Twitter for Android")</f>
        <v>Twitter for Android</v>
      </c>
      <c r="L110" s="13">
        <v>556</v>
      </c>
      <c r="M110" s="13">
        <v>154</v>
      </c>
      <c r="N110" s="13">
        <v>22</v>
      </c>
      <c r="O110" s="15"/>
      <c r="P110" s="6">
        <v>39419.497106481482</v>
      </c>
      <c r="Q110" s="17" t="s">
        <v>72</v>
      </c>
      <c r="R110" s="18" t="s">
        <v>609</v>
      </c>
      <c r="S110" s="11" t="s">
        <v>610</v>
      </c>
      <c r="T110" s="12"/>
      <c r="U110" s="10" t="str">
        <f>HYPERLINK("https://pbs.twimg.com/profile_images/778598055918628865/tJ0rPOYF.jpg","View")</f>
        <v>View</v>
      </c>
    </row>
    <row r="111" spans="1:21" ht="91.8">
      <c r="A111" s="6">
        <v>43427.632847222223</v>
      </c>
      <c r="B111" s="7" t="str">
        <f>HYPERLINK("https://twitter.com/antoniooneto","@antoniooneto")</f>
        <v>@antoniooneto</v>
      </c>
      <c r="C111" s="8" t="s">
        <v>611</v>
      </c>
      <c r="D111" s="9" t="s">
        <v>612</v>
      </c>
      <c r="E111" s="10" t="str">
        <f>HYPERLINK("https://twitter.com/antoniooneto/status/1065971054617743360","1065971054617743360")</f>
        <v>1065971054617743360</v>
      </c>
      <c r="F111" s="11" t="s">
        <v>613</v>
      </c>
      <c r="G111" s="12"/>
      <c r="H111" s="12"/>
      <c r="I111" s="13">
        <v>0</v>
      </c>
      <c r="J111" s="13">
        <v>0</v>
      </c>
      <c r="K111" s="14" t="str">
        <f>HYPERLINK("http://twitter.com","Twitter Web Client")</f>
        <v>Twitter Web Client</v>
      </c>
      <c r="L111" s="13">
        <v>767</v>
      </c>
      <c r="M111" s="13">
        <v>705</v>
      </c>
      <c r="N111" s="13">
        <v>11</v>
      </c>
      <c r="O111" s="15"/>
      <c r="P111" s="6">
        <v>40020.111539351856</v>
      </c>
      <c r="Q111" s="17" t="s">
        <v>614</v>
      </c>
      <c r="R111" s="18" t="s">
        <v>615</v>
      </c>
      <c r="S111" s="11" t="s">
        <v>616</v>
      </c>
      <c r="T111" s="12"/>
      <c r="U111" s="10" t="str">
        <f>HYPERLINK("https://pbs.twimg.com/profile_images/677976654715686913/KGOCG2Ff.jpg","View")</f>
        <v>View</v>
      </c>
    </row>
    <row r="112" spans="1:21" ht="30.6">
      <c r="A112" s="6">
        <v>43427.632511574076</v>
      </c>
      <c r="B112" s="7" t="str">
        <f>HYPERLINK("https://twitter.com/Bonachelas","@Bonachelas")</f>
        <v>@Bonachelas</v>
      </c>
      <c r="C112" s="8" t="s">
        <v>617</v>
      </c>
      <c r="D112" s="9" t="s">
        <v>618</v>
      </c>
      <c r="E112" s="10" t="str">
        <f>HYPERLINK("https://twitter.com/Bonachelas/status/1065970932236382208","1065970932236382208")</f>
        <v>1065970932236382208</v>
      </c>
      <c r="F112" s="12"/>
      <c r="G112" s="12"/>
      <c r="H112" s="12"/>
      <c r="I112" s="13">
        <v>0</v>
      </c>
      <c r="J112" s="13">
        <v>1</v>
      </c>
      <c r="K112" s="14" t="str">
        <f>HYPERLINK("http://twitter.com/download/iphone","Twitter for iPhone")</f>
        <v>Twitter for iPhone</v>
      </c>
      <c r="L112" s="13">
        <v>917</v>
      </c>
      <c r="M112" s="13">
        <v>986</v>
      </c>
      <c r="N112" s="13">
        <v>22</v>
      </c>
      <c r="O112" s="15"/>
      <c r="P112" s="6">
        <v>40105.492754629631</v>
      </c>
      <c r="Q112" s="17" t="s">
        <v>619</v>
      </c>
      <c r="R112" s="18" t="s">
        <v>620</v>
      </c>
      <c r="S112" s="12"/>
      <c r="T112" s="12"/>
      <c r="U112" s="10" t="str">
        <f>HYPERLINK("https://pbs.twimg.com/profile_images/974590200805457922/D1MYV4Cy.jpg","View")</f>
        <v>View</v>
      </c>
    </row>
    <row r="113" spans="1:21" ht="40.799999999999997">
      <c r="A113" s="6">
        <v>43427.631377314814</v>
      </c>
      <c r="B113" s="7" t="str">
        <f>HYPERLINK("https://twitter.com/_23Sergio","@_23Sergio")</f>
        <v>@_23Sergio</v>
      </c>
      <c r="C113" s="8" t="s">
        <v>621</v>
      </c>
      <c r="D113" s="9" t="s">
        <v>622</v>
      </c>
      <c r="E113" s="10" t="str">
        <f>HYPERLINK("https://twitter.com/_23Sergio/status/1065970520909406208","1065970520909406208")</f>
        <v>1065970520909406208</v>
      </c>
      <c r="F113" s="12"/>
      <c r="G113" s="12"/>
      <c r="H113" s="12"/>
      <c r="I113" s="13">
        <v>0</v>
      </c>
      <c r="J113" s="13">
        <v>1</v>
      </c>
      <c r="K113" s="14" t="str">
        <f>HYPERLINK("http://twitter.com/download/android","Twitter for Android")</f>
        <v>Twitter for Android</v>
      </c>
      <c r="L113" s="13">
        <v>1051</v>
      </c>
      <c r="M113" s="13">
        <v>1094</v>
      </c>
      <c r="N113" s="13">
        <v>12</v>
      </c>
      <c r="O113" s="15"/>
      <c r="P113" s="6">
        <v>40503.781458333331</v>
      </c>
      <c r="Q113" s="17" t="s">
        <v>623</v>
      </c>
      <c r="R113" s="18" t="s">
        <v>624</v>
      </c>
      <c r="S113" s="12"/>
      <c r="T113" s="12"/>
      <c r="U113" s="10" t="str">
        <f>HYPERLINK("https://pbs.twimg.com/profile_images/959348744822157312/wUGKBFb3.jpg","View")</f>
        <v>View</v>
      </c>
    </row>
    <row r="114" spans="1:21" ht="30.6">
      <c r="A114" s="6">
        <v>43427.631284722222</v>
      </c>
      <c r="B114" s="7" t="str">
        <f>HYPERLINK("https://twitter.com/ccooendesa","@ccooendesa")</f>
        <v>@ccooendesa</v>
      </c>
      <c r="C114" s="8" t="s">
        <v>625</v>
      </c>
      <c r="D114" s="9" t="s">
        <v>626</v>
      </c>
      <c r="E114" s="10" t="str">
        <f>HYPERLINK("https://twitter.com/ccooendesa/status/1065970485983367168","1065970485983367168")</f>
        <v>1065970485983367168</v>
      </c>
      <c r="F114" s="11" t="s">
        <v>627</v>
      </c>
      <c r="G114" s="12"/>
      <c r="H114" s="12"/>
      <c r="I114" s="13">
        <v>0</v>
      </c>
      <c r="J114" s="13">
        <v>0</v>
      </c>
      <c r="K114" s="14" t="str">
        <f>HYPERLINK("http://twitter.com/download/iphone","Twitter for iPhone")</f>
        <v>Twitter for iPhone</v>
      </c>
      <c r="L114" s="13">
        <v>954</v>
      </c>
      <c r="M114" s="13">
        <v>775</v>
      </c>
      <c r="N114" s="13">
        <v>15</v>
      </c>
      <c r="O114" s="15"/>
      <c r="P114" s="6">
        <v>42018.428506944445</v>
      </c>
      <c r="Q114" s="17" t="s">
        <v>27</v>
      </c>
      <c r="R114" s="18" t="s">
        <v>628</v>
      </c>
      <c r="S114" s="11" t="s">
        <v>629</v>
      </c>
      <c r="T114" s="12"/>
      <c r="U114" s="10" t="str">
        <f>HYPERLINK("https://pbs.twimg.com/profile_images/1011939081591324672/t4VGHoNt.jpg","View")</f>
        <v>View</v>
      </c>
    </row>
    <row r="115" spans="1:21" ht="40.799999999999997">
      <c r="A115" s="6">
        <v>43427.631192129629</v>
      </c>
      <c r="B115" s="7" t="str">
        <f>HYPERLINK("https://twitter.com/entumovil_cu","@entumovil_cu")</f>
        <v>@entumovil_cu</v>
      </c>
      <c r="C115" s="20" t="s">
        <v>630</v>
      </c>
      <c r="D115" s="9" t="s">
        <v>631</v>
      </c>
      <c r="E115" s="10" t="str">
        <f>HYPERLINK("https://twitter.com/entumovil_cu/status/1065970452886040576","1065970452886040576")</f>
        <v>1065970452886040576</v>
      </c>
      <c r="F115" s="11" t="s">
        <v>632</v>
      </c>
      <c r="G115" s="12"/>
      <c r="H115" s="12"/>
      <c r="I115" s="13">
        <v>0</v>
      </c>
      <c r="J115" s="13">
        <v>0</v>
      </c>
      <c r="K115" s="14" t="str">
        <f>HYPERLINK("http://twitter.com","Twitter Web Client")</f>
        <v>Twitter Web Client</v>
      </c>
      <c r="L115" s="13">
        <v>345</v>
      </c>
      <c r="M115" s="13">
        <v>1579</v>
      </c>
      <c r="N115" s="13">
        <v>13</v>
      </c>
      <c r="O115" s="15"/>
      <c r="P115" s="6">
        <v>41394.918287037035</v>
      </c>
      <c r="Q115" s="17" t="s">
        <v>634</v>
      </c>
      <c r="R115" s="18" t="s">
        <v>635</v>
      </c>
      <c r="S115" s="11" t="s">
        <v>636</v>
      </c>
      <c r="T115" s="12"/>
      <c r="U115" s="10" t="str">
        <f>HYPERLINK("https://pbs.twimg.com/profile_images/864906989838532609/Z68ErXXC.jpg","View")</f>
        <v>View</v>
      </c>
    </row>
    <row r="116" spans="1:21" ht="20.399999999999999">
      <c r="A116" s="6">
        <v>43427.63113425926</v>
      </c>
      <c r="B116" s="7" t="str">
        <f>HYPERLINK("https://twitter.com/aguajin","@aguajin")</f>
        <v>@aguajin</v>
      </c>
      <c r="C116" s="8" t="s">
        <v>637</v>
      </c>
      <c r="D116" s="9" t="s">
        <v>638</v>
      </c>
      <c r="E116" s="10" t="str">
        <f>HYPERLINK("https://twitter.com/aguajin/status/1065970432979988482","1065970432979988482")</f>
        <v>1065970432979988482</v>
      </c>
      <c r="F116" s="11" t="s">
        <v>119</v>
      </c>
      <c r="G116" s="12"/>
      <c r="H116" s="12"/>
      <c r="I116" s="13">
        <v>0</v>
      </c>
      <c r="J116" s="13">
        <v>0</v>
      </c>
      <c r="K116" s="14" t="str">
        <f>HYPERLINK("http://twitter.com/download/android","Twitter for Android")</f>
        <v>Twitter for Android</v>
      </c>
      <c r="L116" s="13">
        <v>282</v>
      </c>
      <c r="M116" s="13">
        <v>409</v>
      </c>
      <c r="N116" s="13">
        <v>6</v>
      </c>
      <c r="O116" s="15"/>
      <c r="P116" s="6">
        <v>40725.23065972222</v>
      </c>
      <c r="Q116" s="17" t="s">
        <v>28</v>
      </c>
      <c r="R116" s="19"/>
      <c r="S116" s="12"/>
      <c r="T116" s="12"/>
      <c r="U116" s="10" t="str">
        <f>HYPERLINK("https://pbs.twimg.com/profile_images/869939033732001792/PgMWeDAf.jpg","View")</f>
        <v>View</v>
      </c>
    </row>
    <row r="117" spans="1:21" ht="20.399999999999999">
      <c r="A117" s="6">
        <v>43427.631111111114</v>
      </c>
      <c r="B117" s="7" t="str">
        <f>HYPERLINK("https://twitter.com/FernandoMLainez","@FernandoMLainez")</f>
        <v>@FernandoMLainez</v>
      </c>
      <c r="C117" s="8" t="s">
        <v>639</v>
      </c>
      <c r="D117" s="9" t="s">
        <v>640</v>
      </c>
      <c r="E117" s="10" t="str">
        <f>HYPERLINK("https://twitter.com/FernandoMLainez/status/1065970425367355393","1065970425367355393")</f>
        <v>1065970425367355393</v>
      </c>
      <c r="F117" s="11" t="s">
        <v>641</v>
      </c>
      <c r="G117" s="12"/>
      <c r="H117" s="12"/>
      <c r="I117" s="13">
        <v>0</v>
      </c>
      <c r="J117" s="13">
        <v>0</v>
      </c>
      <c r="K117" s="14" t="str">
        <f>HYPERLINK("http://twitter.com","Twitter Web Client")</f>
        <v>Twitter Web Client</v>
      </c>
      <c r="L117" s="13">
        <v>732</v>
      </c>
      <c r="M117" s="13">
        <v>1230</v>
      </c>
      <c r="N117" s="13">
        <v>26</v>
      </c>
      <c r="O117" s="15"/>
      <c r="P117" s="6">
        <v>40821.593449074076</v>
      </c>
      <c r="Q117" s="17" t="s">
        <v>72</v>
      </c>
      <c r="R117" s="18" t="s">
        <v>642</v>
      </c>
      <c r="S117" s="12"/>
      <c r="T117" s="12"/>
      <c r="U117" s="10" t="str">
        <f>HYPERLINK("https://pbs.twimg.com/profile_images/498027722602328064/cAcrqhKN.jpeg","View")</f>
        <v>View</v>
      </c>
    </row>
    <row r="118" spans="1:21" ht="30.6">
      <c r="A118" s="6">
        <v>43427.63045138889</v>
      </c>
      <c r="B118" s="7" t="str">
        <f>HYPERLINK("https://twitter.com/Liverdades","@Liverdades")</f>
        <v>@Liverdades</v>
      </c>
      <c r="C118" s="8" t="s">
        <v>643</v>
      </c>
      <c r="D118" s="9" t="s">
        <v>589</v>
      </c>
      <c r="E118" s="10" t="str">
        <f>HYPERLINK("https://twitter.com/Liverdades/status/1065970182907019264","1065970182907019264")</f>
        <v>1065970182907019264</v>
      </c>
      <c r="F118" s="11" t="s">
        <v>644</v>
      </c>
      <c r="G118" s="11" t="s">
        <v>645</v>
      </c>
      <c r="H118" s="12"/>
      <c r="I118" s="13">
        <v>1</v>
      </c>
      <c r="J118" s="13">
        <v>0</v>
      </c>
      <c r="K118" s="14" t="str">
        <f>HYPERLINK("https://dlvrit.com/","dlvr.it")</f>
        <v>dlvr.it</v>
      </c>
      <c r="L118" s="13">
        <v>3517</v>
      </c>
      <c r="M118" s="13">
        <v>3473</v>
      </c>
      <c r="N118" s="13">
        <v>66</v>
      </c>
      <c r="O118" s="15"/>
      <c r="P118" s="6">
        <v>41743.492881944447</v>
      </c>
      <c r="Q118" s="17" t="s">
        <v>191</v>
      </c>
      <c r="R118" s="18" t="s">
        <v>646</v>
      </c>
      <c r="S118" s="11" t="s">
        <v>647</v>
      </c>
      <c r="T118" s="12"/>
      <c r="U118" s="10" t="str">
        <f>HYPERLINK("https://pbs.twimg.com/profile_images/685407826445996032/eVcXWMVo.png","View")</f>
        <v>View</v>
      </c>
    </row>
    <row r="119" spans="1:21" ht="40.799999999999997">
      <c r="A119" s="6">
        <v>43427.630312499998</v>
      </c>
      <c r="B119" s="7" t="str">
        <f>HYPERLINK("https://twitter.com/Anonymus_ES","@Anonymus_ES")</f>
        <v>@Anonymus_ES</v>
      </c>
      <c r="C119" s="8" t="s">
        <v>648</v>
      </c>
      <c r="D119" s="9" t="s">
        <v>527</v>
      </c>
      <c r="E119" s="10" t="str">
        <f>HYPERLINK("https://twitter.com/Anonymus_ES/status/1065970133590528000","1065970133590528000")</f>
        <v>1065970133590528000</v>
      </c>
      <c r="F119" s="12"/>
      <c r="G119" s="12"/>
      <c r="H119" s="12"/>
      <c r="I119" s="13">
        <v>170</v>
      </c>
      <c r="J119" s="13">
        <v>267</v>
      </c>
      <c r="K119" s="14" t="str">
        <f>HYPERLINK("http://twitter.com","Twitter Web Client")</f>
        <v>Twitter Web Client</v>
      </c>
      <c r="L119" s="13">
        <v>28119</v>
      </c>
      <c r="M119" s="13">
        <v>1549</v>
      </c>
      <c r="N119" s="13">
        <v>44</v>
      </c>
      <c r="O119" s="15"/>
      <c r="P119" s="6">
        <v>41337.908738425926</v>
      </c>
      <c r="Q119" s="17" t="s">
        <v>649</v>
      </c>
      <c r="R119" s="18" t="s">
        <v>650</v>
      </c>
      <c r="S119" s="12"/>
      <c r="T119" s="12"/>
      <c r="U119" s="10" t="str">
        <f>HYPERLINK("https://pbs.twimg.com/profile_images/912653711629053952/Knwhdl0H.jpg","View")</f>
        <v>View</v>
      </c>
    </row>
    <row r="120" spans="1:21" ht="20.399999999999999">
      <c r="A120" s="6">
        <v>43427.630127314813</v>
      </c>
      <c r="B120" s="7" t="str">
        <f>HYPERLINK("https://twitter.com/ElTocuyano","@ElTocuyano")</f>
        <v>@ElTocuyano</v>
      </c>
      <c r="C120" s="8" t="s">
        <v>651</v>
      </c>
      <c r="D120" s="9" t="s">
        <v>594</v>
      </c>
      <c r="E120" s="10" t="str">
        <f>HYPERLINK("https://twitter.com/ElTocuyano/status/1065970065567301632","1065970065567301632")</f>
        <v>1065970065567301632</v>
      </c>
      <c r="F120" s="11" t="s">
        <v>652</v>
      </c>
      <c r="G120" s="11" t="s">
        <v>653</v>
      </c>
      <c r="H120" s="12"/>
      <c r="I120" s="13">
        <v>0</v>
      </c>
      <c r="J120" s="13">
        <v>0</v>
      </c>
      <c r="K120" s="14" t="str">
        <f>HYPERLINK("https://ifttt.com","IFTTT")</f>
        <v>IFTTT</v>
      </c>
      <c r="L120" s="13">
        <v>1130</v>
      </c>
      <c r="M120" s="13">
        <v>46</v>
      </c>
      <c r="N120" s="13">
        <v>21</v>
      </c>
      <c r="O120" s="15"/>
      <c r="P120" s="6">
        <v>41228.149398148147</v>
      </c>
      <c r="Q120" s="17" t="s">
        <v>104</v>
      </c>
      <c r="R120" s="18" t="s">
        <v>654</v>
      </c>
      <c r="S120" s="12"/>
      <c r="T120" s="12"/>
      <c r="U120" s="10" t="str">
        <f>HYPERLINK("https://pbs.twimg.com/profile_images/412401428053770241/Hrubmwgu.png","View")</f>
        <v>View</v>
      </c>
    </row>
    <row r="121" spans="1:21" ht="30.6">
      <c r="A121" s="6">
        <v>43427.629687499997</v>
      </c>
      <c r="B121" s="7" t="str">
        <f>HYPERLINK("https://twitter.com/vivianmarlowe","@vivianmarlowe")</f>
        <v>@vivianmarlowe</v>
      </c>
      <c r="C121" s="8" t="s">
        <v>655</v>
      </c>
      <c r="D121" s="9" t="s">
        <v>656</v>
      </c>
      <c r="E121" s="10" t="str">
        <f>HYPERLINK("https://twitter.com/vivianmarlowe/status/1065969906938712065","1065969906938712065")</f>
        <v>1065969906938712065</v>
      </c>
      <c r="F121" s="12"/>
      <c r="G121" s="12"/>
      <c r="H121" s="12"/>
      <c r="I121" s="13">
        <v>0</v>
      </c>
      <c r="J121" s="13">
        <v>0</v>
      </c>
      <c r="K121" s="14" t="str">
        <f t="shared" ref="K121:K122" si="16">HYPERLINK("http://twitter.com/download/android","Twitter for Android")</f>
        <v>Twitter for Android</v>
      </c>
      <c r="L121" s="13">
        <v>489</v>
      </c>
      <c r="M121" s="13">
        <v>768</v>
      </c>
      <c r="N121" s="13">
        <v>7</v>
      </c>
      <c r="O121" s="15"/>
      <c r="P121" s="6">
        <v>42185.752407407403</v>
      </c>
      <c r="Q121" s="12"/>
      <c r="R121" s="18" t="s">
        <v>657</v>
      </c>
      <c r="S121" s="12"/>
      <c r="T121" s="12"/>
      <c r="U121" s="10" t="str">
        <f>HYPERLINK("https://pbs.twimg.com/profile_images/991667955141414912/pOrxQwnk.jpg","View")</f>
        <v>View</v>
      </c>
    </row>
    <row r="122" spans="1:21" ht="30.6">
      <c r="A122" s="6">
        <v>43427.629641203705</v>
      </c>
      <c r="B122" s="7" t="str">
        <f>HYPERLINK("https://twitter.com/JaimeBN1987","@JaimeBN1987")</f>
        <v>@JaimeBN1987</v>
      </c>
      <c r="C122" s="8" t="s">
        <v>658</v>
      </c>
      <c r="D122" s="9" t="s">
        <v>659</v>
      </c>
      <c r="E122" s="10" t="str">
        <f>HYPERLINK("https://twitter.com/JaimeBN1987/status/1065969890971013121","1065969890971013121")</f>
        <v>1065969890971013121</v>
      </c>
      <c r="F122" s="12"/>
      <c r="G122" s="11" t="s">
        <v>660</v>
      </c>
      <c r="H122" s="12"/>
      <c r="I122" s="13">
        <v>0</v>
      </c>
      <c r="J122" s="13">
        <v>3</v>
      </c>
      <c r="K122" s="14" t="str">
        <f t="shared" si="16"/>
        <v>Twitter for Android</v>
      </c>
      <c r="L122" s="13">
        <v>9964</v>
      </c>
      <c r="M122" s="13">
        <v>3317</v>
      </c>
      <c r="N122" s="13">
        <v>243</v>
      </c>
      <c r="O122" s="15"/>
      <c r="P122" s="6">
        <v>40380.61891203704</v>
      </c>
      <c r="Q122" s="17" t="s">
        <v>661</v>
      </c>
      <c r="R122" s="18" t="s">
        <v>662</v>
      </c>
      <c r="S122" s="11" t="s">
        <v>663</v>
      </c>
      <c r="T122" s="12"/>
      <c r="U122" s="10" t="str">
        <f>HYPERLINK("https://pbs.twimg.com/profile_images/1021118024823328768/o-hZEiNo.jpg","View")</f>
        <v>View</v>
      </c>
    </row>
    <row r="123" spans="1:21" ht="13.2">
      <c r="A123" s="6">
        <v>43427.62872685185</v>
      </c>
      <c r="B123" s="7" t="str">
        <f>HYPERLINK("https://twitter.com/AlvaroJVargas","@AlvaroJVargas")</f>
        <v>@AlvaroJVargas</v>
      </c>
      <c r="C123" s="8" t="s">
        <v>664</v>
      </c>
      <c r="D123" s="9" t="s">
        <v>204</v>
      </c>
      <c r="E123" s="10" t="str">
        <f>HYPERLINK("https://twitter.com/AlvaroJVargas/status/1065969559360995333","1065969559360995333")</f>
        <v>1065969559360995333</v>
      </c>
      <c r="F123" s="11" t="s">
        <v>207</v>
      </c>
      <c r="G123" s="12"/>
      <c r="H123" s="12"/>
      <c r="I123" s="13">
        <v>0</v>
      </c>
      <c r="J123" s="13">
        <v>0</v>
      </c>
      <c r="K123" s="14" t="str">
        <f>HYPERLINK("http://www.facebook.com/twitter","Facebook")</f>
        <v>Facebook</v>
      </c>
      <c r="L123" s="13">
        <v>143</v>
      </c>
      <c r="M123" s="13">
        <v>197</v>
      </c>
      <c r="N123" s="13">
        <v>2</v>
      </c>
      <c r="O123" s="15"/>
      <c r="P123" s="6">
        <v>40182.623865740738</v>
      </c>
      <c r="Q123" s="17" t="s">
        <v>28</v>
      </c>
      <c r="R123" s="19"/>
      <c r="S123" s="12"/>
      <c r="T123" s="12"/>
      <c r="U123" s="10" t="str">
        <f>HYPERLINK("https://pbs.twimg.com/profile_images/1636702656/yo_mismo.jpg","View")</f>
        <v>View</v>
      </c>
    </row>
    <row r="124" spans="1:21" ht="61.2">
      <c r="A124" s="6">
        <v>43427.628171296295</v>
      </c>
      <c r="B124" s="7" t="str">
        <f>HYPERLINK("https://twitter.com/AmarrasCarlos","@AmarrasCarlos")</f>
        <v>@AmarrasCarlos</v>
      </c>
      <c r="C124" s="8" t="s">
        <v>665</v>
      </c>
      <c r="D124" s="9" t="s">
        <v>666</v>
      </c>
      <c r="E124" s="10" t="str">
        <f>HYPERLINK("https://twitter.com/AmarrasCarlos/status/1065969358281863168","1065969358281863168")</f>
        <v>1065969358281863168</v>
      </c>
      <c r="F124" s="12"/>
      <c r="G124" s="11" t="s">
        <v>667</v>
      </c>
      <c r="H124" s="12"/>
      <c r="I124" s="13">
        <v>2</v>
      </c>
      <c r="J124" s="13">
        <v>2</v>
      </c>
      <c r="K124" s="14" t="str">
        <f t="shared" ref="K124:K125" si="17">HYPERLINK("http://twitter.com/download/android","Twitter for Android")</f>
        <v>Twitter for Android</v>
      </c>
      <c r="L124" s="13">
        <v>1237</v>
      </c>
      <c r="M124" s="13">
        <v>5000</v>
      </c>
      <c r="N124" s="13">
        <v>8</v>
      </c>
      <c r="O124" s="15"/>
      <c r="P124" s="6">
        <v>41794.680289351854</v>
      </c>
      <c r="Q124" s="17" t="s">
        <v>668</v>
      </c>
      <c r="R124" s="18" t="s">
        <v>669</v>
      </c>
      <c r="S124" s="12"/>
      <c r="T124" s="12"/>
      <c r="U124" s="10" t="str">
        <f>HYPERLINK("https://pbs.twimg.com/profile_images/972610889718423557/EG-o9jcr.jpg","View")</f>
        <v>View</v>
      </c>
    </row>
    <row r="125" spans="1:21" ht="30.6">
      <c r="A125" s="6">
        <v>43427.627453703702</v>
      </c>
      <c r="B125" s="7" t="str">
        <f>HYPERLINK("https://twitter.com/InmaGomezHdez","@InmaGomezHdez")</f>
        <v>@InmaGomezHdez</v>
      </c>
      <c r="C125" s="8" t="s">
        <v>670</v>
      </c>
      <c r="D125" s="9" t="s">
        <v>671</v>
      </c>
      <c r="E125" s="10" t="str">
        <f>HYPERLINK("https://twitter.com/InmaGomezHdez/status/1065969098708914176","1065969098708914176")</f>
        <v>1065969098708914176</v>
      </c>
      <c r="F125" s="12"/>
      <c r="G125" s="12"/>
      <c r="H125" s="12"/>
      <c r="I125" s="13">
        <v>0</v>
      </c>
      <c r="J125" s="13">
        <v>1</v>
      </c>
      <c r="K125" s="14" t="str">
        <f t="shared" si="17"/>
        <v>Twitter for Android</v>
      </c>
      <c r="L125" s="13">
        <v>522</v>
      </c>
      <c r="M125" s="13">
        <v>491</v>
      </c>
      <c r="N125" s="13">
        <v>4</v>
      </c>
      <c r="O125" s="15"/>
      <c r="P125" s="6">
        <v>40943.723090277781</v>
      </c>
      <c r="Q125" s="17" t="s">
        <v>672</v>
      </c>
      <c r="R125" s="18" t="s">
        <v>673</v>
      </c>
      <c r="S125" s="12"/>
      <c r="T125" s="12"/>
      <c r="U125" s="10" t="str">
        <f>HYPERLINK("https://pbs.twimg.com/profile_images/1002268707148783618/EhttEH2b.jpg","View")</f>
        <v>View</v>
      </c>
    </row>
    <row r="126" spans="1:21" ht="40.799999999999997">
      <c r="A126" s="6">
        <v>43427.627430555556</v>
      </c>
      <c r="B126" s="7" t="str">
        <f>HYPERLINK("https://twitter.com/Mario_cjMadrid","@Mario_cjMadrid")</f>
        <v>@Mario_cjMadrid</v>
      </c>
      <c r="C126" s="8" t="s">
        <v>78</v>
      </c>
      <c r="D126" s="9" t="s">
        <v>84</v>
      </c>
      <c r="E126" s="10" t="str">
        <f>HYPERLINK("https://twitter.com/Mario_cjMadrid/status/1065969091368927232","1065969091368927232")</f>
        <v>1065969091368927232</v>
      </c>
      <c r="F126" s="11" t="s">
        <v>87</v>
      </c>
      <c r="G126" s="12"/>
      <c r="H126" s="12"/>
      <c r="I126" s="13">
        <v>0</v>
      </c>
      <c r="J126" s="13">
        <v>0</v>
      </c>
      <c r="K126" s="14" t="str">
        <f>HYPERLINK("http://twitter.com","Twitter Web Client")</f>
        <v>Twitter Web Client</v>
      </c>
      <c r="L126" s="13">
        <v>4628</v>
      </c>
      <c r="M126" s="13">
        <v>3810</v>
      </c>
      <c r="N126" s="13">
        <v>67</v>
      </c>
      <c r="O126" s="15"/>
      <c r="P126" s="6">
        <v>41368.661562499998</v>
      </c>
      <c r="Q126" s="12"/>
      <c r="R126" s="18" t="s">
        <v>79</v>
      </c>
      <c r="S126" s="11" t="s">
        <v>80</v>
      </c>
      <c r="T126" s="12"/>
      <c r="U126" s="10" t="str">
        <f>HYPERLINK("https://pbs.twimg.com/profile_images/378800000171844685/73cdb2726322275429577f87e633f8cc.jpeg","View")</f>
        <v>View</v>
      </c>
    </row>
    <row r="127" spans="1:21" ht="30.6">
      <c r="A127" s="6">
        <v>43427.627326388887</v>
      </c>
      <c r="B127" s="7" t="str">
        <f>HYPERLINK("https://twitter.com/Ole2006Superole","@Ole2006Superole")</f>
        <v>@Ole2006Superole</v>
      </c>
      <c r="C127" s="8" t="s">
        <v>674</v>
      </c>
      <c r="D127" s="9" t="s">
        <v>675</v>
      </c>
      <c r="E127" s="10" t="str">
        <f>HYPERLINK("https://twitter.com/Ole2006Superole/status/1065969054320656384","1065969054320656384")</f>
        <v>1065969054320656384</v>
      </c>
      <c r="F127" s="12"/>
      <c r="G127" s="12"/>
      <c r="H127" s="12"/>
      <c r="I127" s="13">
        <v>0</v>
      </c>
      <c r="J127" s="13">
        <v>0</v>
      </c>
      <c r="K127" s="14" t="str">
        <f>HYPERLINK("http://twitter.com/download/iphone","Twitter for iPhone")</f>
        <v>Twitter for iPhone</v>
      </c>
      <c r="L127" s="13">
        <v>76</v>
      </c>
      <c r="M127" s="13">
        <v>46</v>
      </c>
      <c r="N127" s="13">
        <v>11</v>
      </c>
      <c r="O127" s="15"/>
      <c r="P127" s="6">
        <v>40872.862395833334</v>
      </c>
      <c r="Q127" s="17" t="s">
        <v>28</v>
      </c>
      <c r="R127" s="18" t="s">
        <v>676</v>
      </c>
      <c r="S127" s="12"/>
      <c r="T127" s="12"/>
      <c r="U127" s="10" t="str">
        <f>HYPERLINK("https://pbs.twimg.com/profile_images/3682159450/181ede3124f85ddd5d29f8fe1e7ea820.jpeg","View")</f>
        <v>View</v>
      </c>
    </row>
    <row r="128" spans="1:21" ht="20.399999999999999">
      <c r="A128" s="6">
        <v>43427.627280092594</v>
      </c>
      <c r="B128" s="7" t="str">
        <f>HYPERLINK("https://twitter.com/ZapaterGil","@ZapaterGil")</f>
        <v>@ZapaterGil</v>
      </c>
      <c r="C128" s="8" t="s">
        <v>677</v>
      </c>
      <c r="D128" s="9" t="s">
        <v>678</v>
      </c>
      <c r="E128" s="10" t="str">
        <f>HYPERLINK("https://twitter.com/ZapaterGil/status/1065969035110694914","1065969035110694914")</f>
        <v>1065969035110694914</v>
      </c>
      <c r="F128" s="12"/>
      <c r="G128" s="12"/>
      <c r="H128" s="12"/>
      <c r="I128" s="13">
        <v>0</v>
      </c>
      <c r="J128" s="13">
        <v>0</v>
      </c>
      <c r="K128" s="14" t="str">
        <f>HYPERLINK("http://twitter.com/download/android","Twitter for Android")</f>
        <v>Twitter for Android</v>
      </c>
      <c r="L128" s="13">
        <v>138</v>
      </c>
      <c r="M128" s="13">
        <v>109</v>
      </c>
      <c r="N128" s="13">
        <v>10</v>
      </c>
      <c r="O128" s="15"/>
      <c r="P128" s="6">
        <v>41461.501759259263</v>
      </c>
      <c r="Q128" s="12"/>
      <c r="R128" s="18" t="s">
        <v>679</v>
      </c>
      <c r="S128" s="12"/>
      <c r="T128" s="12"/>
      <c r="U128" s="10" t="str">
        <f>HYPERLINK("https://pbs.twimg.com/profile_images/913134619427573760/AIwbRg7G.jpg","View")</f>
        <v>View</v>
      </c>
    </row>
    <row r="129" spans="1:21" ht="30.6">
      <c r="A129" s="6">
        <v>43427.627233796295</v>
      </c>
      <c r="B129" s="7" t="str">
        <f>HYPERLINK("https://twitter.com/usuariocastilla","@usuariocastilla")</f>
        <v>@usuariocastilla</v>
      </c>
      <c r="C129" s="8" t="s">
        <v>681</v>
      </c>
      <c r="D129" s="9" t="s">
        <v>682</v>
      </c>
      <c r="E129" s="10" t="str">
        <f>HYPERLINK("https://twitter.com/usuariocastilla/status/1065969019373666304","1065969019373666304")</f>
        <v>1065969019373666304</v>
      </c>
      <c r="F129" s="17" t="s">
        <v>683</v>
      </c>
      <c r="G129" s="12"/>
      <c r="H129" s="12"/>
      <c r="I129" s="13">
        <v>0</v>
      </c>
      <c r="J129" s="13">
        <v>3</v>
      </c>
      <c r="K129" s="14" t="str">
        <f>HYPERLINK("http://twitter.com/download/iphone","Twitter for iPhone")</f>
        <v>Twitter for iPhone</v>
      </c>
      <c r="L129" s="13">
        <v>15388</v>
      </c>
      <c r="M129" s="13">
        <v>12671</v>
      </c>
      <c r="N129" s="13">
        <v>49</v>
      </c>
      <c r="O129" s="15"/>
      <c r="P129" s="6">
        <v>41953.814884259264</v>
      </c>
      <c r="Q129" s="17" t="s">
        <v>684</v>
      </c>
      <c r="R129" s="18" t="s">
        <v>685</v>
      </c>
      <c r="S129" s="12"/>
      <c r="T129" s="12"/>
      <c r="U129" s="10" t="str">
        <f>HYPERLINK("https://pbs.twimg.com/profile_images/891465333260918784/aLf9uXbP.jpg","View")</f>
        <v>View</v>
      </c>
    </row>
    <row r="130" spans="1:21" ht="40.799999999999997">
      <c r="A130" s="6">
        <v>43427.627152777779</v>
      </c>
      <c r="B130" s="7" t="str">
        <f>HYPERLINK("https://twitter.com/albertomoreno__","@albertomoreno__")</f>
        <v>@albertomoreno__</v>
      </c>
      <c r="C130" s="8" t="s">
        <v>686</v>
      </c>
      <c r="D130" s="9" t="s">
        <v>687</v>
      </c>
      <c r="E130" s="10" t="str">
        <f>HYPERLINK("https://twitter.com/albertomoreno__/status/1065968989501820934","1065968989501820934")</f>
        <v>1065968989501820934</v>
      </c>
      <c r="F130" s="11" t="s">
        <v>688</v>
      </c>
      <c r="G130" s="12"/>
      <c r="H130" s="12"/>
      <c r="I130" s="13">
        <v>0</v>
      </c>
      <c r="J130" s="13">
        <v>1</v>
      </c>
      <c r="K130" s="14" t="str">
        <f>HYPERLINK("https://about.twitter.com/products/tweetdeck","TweetDeck")</f>
        <v>TweetDeck</v>
      </c>
      <c r="L130" s="13">
        <v>9686</v>
      </c>
      <c r="M130" s="13">
        <v>637</v>
      </c>
      <c r="N130" s="13">
        <v>144</v>
      </c>
      <c r="O130" s="16" t="s">
        <v>26</v>
      </c>
      <c r="P130" s="6">
        <v>39844.816944444443</v>
      </c>
      <c r="Q130" s="17" t="s">
        <v>72</v>
      </c>
      <c r="R130" s="18" t="s">
        <v>689</v>
      </c>
      <c r="S130" s="11" t="s">
        <v>690</v>
      </c>
      <c r="T130" s="12"/>
      <c r="U130" s="10" t="str">
        <f>HYPERLINK("https://pbs.twimg.com/profile_images/1043500400861765632/uhaQhnPI.jpg","View")</f>
        <v>View</v>
      </c>
    </row>
    <row r="131" spans="1:21" ht="20.399999999999999">
      <c r="A131" s="6">
        <v>43427.62700231481</v>
      </c>
      <c r="B131" s="7" t="str">
        <f>HYPERLINK("https://twitter.com/lavanha5","@lavanha5")</f>
        <v>@lavanha5</v>
      </c>
      <c r="C131" s="8" t="s">
        <v>691</v>
      </c>
      <c r="D131" s="9" t="s">
        <v>692</v>
      </c>
      <c r="E131" s="10" t="str">
        <f>HYPERLINK("https://twitter.com/lavanha5/status/1065968935743488000","1065968935743488000")</f>
        <v>1065968935743488000</v>
      </c>
      <c r="F131" s="12"/>
      <c r="G131" s="12"/>
      <c r="H131" s="12"/>
      <c r="I131" s="13">
        <v>1</v>
      </c>
      <c r="J131" s="13">
        <v>0</v>
      </c>
      <c r="K131" s="14" t="str">
        <f>HYPERLINK("http://twitter.com/#!/download/ipad","Twitter for iPad")</f>
        <v>Twitter for iPad</v>
      </c>
      <c r="L131" s="13">
        <v>160</v>
      </c>
      <c r="M131" s="13">
        <v>557</v>
      </c>
      <c r="N131" s="13">
        <v>17</v>
      </c>
      <c r="O131" s="15"/>
      <c r="P131" s="6">
        <v>42459.010150462964</v>
      </c>
      <c r="Q131" s="12"/>
      <c r="R131" s="19"/>
      <c r="S131" s="12"/>
      <c r="T131" s="12"/>
      <c r="U131" s="10" t="str">
        <f>HYPERLINK("https://pbs.twimg.com/profile_images/739549170873303040/gBg2SJ_1.jpg","View")</f>
        <v>View</v>
      </c>
    </row>
    <row r="132" spans="1:21" ht="20.399999999999999">
      <c r="A132" s="6">
        <v>43427.626689814817</v>
      </c>
      <c r="B132" s="7" t="str">
        <f>HYPERLINK("https://twitter.com/benrosky2","@benrosky2")</f>
        <v>@benrosky2</v>
      </c>
      <c r="C132" s="8" t="s">
        <v>693</v>
      </c>
      <c r="D132" s="9" t="s">
        <v>694</v>
      </c>
      <c r="E132" s="10" t="str">
        <f>HYPERLINK("https://twitter.com/benrosky2/status/1065968820962172929","1065968820962172929")</f>
        <v>1065968820962172929</v>
      </c>
      <c r="F132" s="12"/>
      <c r="G132" s="12"/>
      <c r="H132" s="12"/>
      <c r="I132" s="13">
        <v>0</v>
      </c>
      <c r="J132" s="13">
        <v>0</v>
      </c>
      <c r="K132" s="14" t="str">
        <f>HYPERLINK("http://twitter.com/download/android","Twitter for Android")</f>
        <v>Twitter for Android</v>
      </c>
      <c r="L132" s="13">
        <v>131</v>
      </c>
      <c r="M132" s="13">
        <v>259</v>
      </c>
      <c r="N132" s="13">
        <v>0</v>
      </c>
      <c r="O132" s="15"/>
      <c r="P132" s="6">
        <v>41052.823437500003</v>
      </c>
      <c r="Q132" s="17" t="s">
        <v>695</v>
      </c>
      <c r="R132" s="18" t="s">
        <v>696</v>
      </c>
      <c r="S132" s="12"/>
      <c r="T132" s="12"/>
      <c r="U132" s="10" t="str">
        <f>HYPERLINK("https://pbs.twimg.com/profile_images/921041962295353344/VeLYLTpE.jpg","View")</f>
        <v>View</v>
      </c>
    </row>
    <row r="133" spans="1:21" ht="71.400000000000006">
      <c r="A133" s="6">
        <v>43427.626516203702</v>
      </c>
      <c r="B133" s="7" t="str">
        <f>HYPERLINK("https://twitter.com/SuliaPaez","@SuliaPaez")</f>
        <v>@SuliaPaez</v>
      </c>
      <c r="C133" s="8" t="s">
        <v>697</v>
      </c>
      <c r="D133" s="9" t="s">
        <v>698</v>
      </c>
      <c r="E133" s="10" t="str">
        <f>HYPERLINK("https://twitter.com/SuliaPaez/status/1065968758282493952","1065968758282493952")</f>
        <v>1065968758282493952</v>
      </c>
      <c r="F133" s="11" t="s">
        <v>699</v>
      </c>
      <c r="G133" s="12"/>
      <c r="H133" s="12"/>
      <c r="I133" s="13">
        <v>0</v>
      </c>
      <c r="J133" s="13">
        <v>0</v>
      </c>
      <c r="K133" s="14" t="str">
        <f>HYPERLINK("http://twitter.com/download/iphone","Twitter for iPhone")</f>
        <v>Twitter for iPhone</v>
      </c>
      <c r="L133" s="13">
        <v>61</v>
      </c>
      <c r="M133" s="13">
        <v>82</v>
      </c>
      <c r="N133" s="13">
        <v>3</v>
      </c>
      <c r="O133" s="15"/>
      <c r="P133" s="6">
        <v>43005.839351851857</v>
      </c>
      <c r="Q133" s="12"/>
      <c r="R133" s="19"/>
      <c r="S133" s="12"/>
      <c r="T133" s="12"/>
      <c r="U133" s="10" t="str">
        <f>HYPERLINK("https://pbs.twimg.com/profile_images/913113149154451462/UCKulQyX.jpg","View")</f>
        <v>View</v>
      </c>
    </row>
    <row r="134" spans="1:21" ht="40.799999999999997">
      <c r="A134" s="6">
        <v>43427.626423611116</v>
      </c>
      <c r="B134" s="7" t="str">
        <f>HYPERLINK("https://twitter.com/VAntoniox","@VAntoniox")</f>
        <v>@VAntoniox</v>
      </c>
      <c r="C134" s="8" t="s">
        <v>700</v>
      </c>
      <c r="D134" s="9" t="s">
        <v>463</v>
      </c>
      <c r="E134" s="10" t="str">
        <f>HYPERLINK("https://twitter.com/VAntoniox/status/1065968723486359552","1065968723486359552")</f>
        <v>1065968723486359552</v>
      </c>
      <c r="F134" s="11" t="s">
        <v>701</v>
      </c>
      <c r="G134" s="12"/>
      <c r="H134" s="12"/>
      <c r="I134" s="13">
        <v>0</v>
      </c>
      <c r="J134" s="13">
        <v>0</v>
      </c>
      <c r="K134" s="14" t="str">
        <f>HYPERLINK("https://dlvrit.com/","dlvr.it")</f>
        <v>dlvr.it</v>
      </c>
      <c r="L134" s="13">
        <v>1813</v>
      </c>
      <c r="M134" s="13">
        <v>2040</v>
      </c>
      <c r="N134" s="13">
        <v>18</v>
      </c>
      <c r="O134" s="15"/>
      <c r="P134" s="6">
        <v>40670.951273148152</v>
      </c>
      <c r="Q134" s="17" t="s">
        <v>702</v>
      </c>
      <c r="R134" s="18" t="s">
        <v>703</v>
      </c>
      <c r="S134" s="11" t="s">
        <v>704</v>
      </c>
      <c r="T134" s="12"/>
      <c r="U134" s="10" t="str">
        <f>HYPERLINK("https://pbs.twimg.com/profile_images/3615543047/47516d84778d6b118f11e7aa7dd9dc6b.jpeg","View")</f>
        <v>View</v>
      </c>
    </row>
    <row r="135" spans="1:21" ht="40.799999999999997">
      <c r="A135" s="6">
        <v>43427.625486111108</v>
      </c>
      <c r="B135" s="7" t="str">
        <f>HYPERLINK("https://twitter.com/Manolomp4","@Manolomp4")</f>
        <v>@Manolomp4</v>
      </c>
      <c r="C135" s="8" t="s">
        <v>705</v>
      </c>
      <c r="D135" s="9" t="s">
        <v>706</v>
      </c>
      <c r="E135" s="10" t="str">
        <f>HYPERLINK("https://twitter.com/Manolomp4/status/1065968384129540096","1065968384129540096")</f>
        <v>1065968384129540096</v>
      </c>
      <c r="F135" s="11" t="s">
        <v>707</v>
      </c>
      <c r="G135" s="12"/>
      <c r="H135" s="12"/>
      <c r="I135" s="13">
        <v>6</v>
      </c>
      <c r="J135" s="13">
        <v>5</v>
      </c>
      <c r="K135" s="14" t="str">
        <f>HYPERLINK("http://twitter.com/download/android","Twitter for Android")</f>
        <v>Twitter for Android</v>
      </c>
      <c r="L135" s="13">
        <v>475</v>
      </c>
      <c r="M135" s="13">
        <v>413</v>
      </c>
      <c r="N135" s="13">
        <v>3</v>
      </c>
      <c r="O135" s="15"/>
      <c r="P135" s="6">
        <v>43147.110706018517</v>
      </c>
      <c r="Q135" s="12"/>
      <c r="R135" s="18" t="s">
        <v>708</v>
      </c>
      <c r="S135" s="12"/>
      <c r="T135" s="12"/>
      <c r="U135" s="10" t="str">
        <f>HYPERLINK("https://pbs.twimg.com/profile_images/1050471824998445056/0SvrkdEi.jpg","View")</f>
        <v>View</v>
      </c>
    </row>
    <row r="136" spans="1:21" ht="51">
      <c r="A136" s="6">
        <v>43427.624826388885</v>
      </c>
      <c r="B136" s="7" t="str">
        <f>HYPERLINK("https://twitter.com/germargheritti","@germargheritti")</f>
        <v>@germargheritti</v>
      </c>
      <c r="C136" s="8" t="s">
        <v>709</v>
      </c>
      <c r="D136" s="9" t="s">
        <v>710</v>
      </c>
      <c r="E136" s="10" t="str">
        <f>HYPERLINK("https://twitter.com/germargheritti/status/1065968146174095361","1065968146174095361")</f>
        <v>1065968146174095361</v>
      </c>
      <c r="F136" s="12"/>
      <c r="G136" s="12"/>
      <c r="H136" s="12"/>
      <c r="I136" s="13">
        <v>0</v>
      </c>
      <c r="J136" s="13">
        <v>0</v>
      </c>
      <c r="K136" s="14" t="str">
        <f>HYPERLINK("http://www.facebook.com/twitter","Facebook")</f>
        <v>Facebook</v>
      </c>
      <c r="L136" s="13">
        <v>1352</v>
      </c>
      <c r="M136" s="13">
        <v>2305</v>
      </c>
      <c r="N136" s="13">
        <v>7</v>
      </c>
      <c r="O136" s="15"/>
      <c r="P136" s="6">
        <v>40322.295324074075</v>
      </c>
      <c r="Q136" s="17" t="s">
        <v>711</v>
      </c>
      <c r="R136" s="18" t="s">
        <v>712</v>
      </c>
      <c r="S136" s="11" t="s">
        <v>713</v>
      </c>
      <c r="T136" s="12"/>
      <c r="U136" s="10" t="str">
        <f>HYPERLINK("https://pbs.twimg.com/profile_images/451354298362765314/cz5ai8fM.jpeg","View")</f>
        <v>View</v>
      </c>
    </row>
    <row r="137" spans="1:21" ht="40.799999999999997">
      <c r="A137" s="6">
        <v>43427.62400462963</v>
      </c>
      <c r="B137" s="7" t="str">
        <f>HYPERLINK("https://twitter.com/elmunicipio","@elmunicipio")</f>
        <v>@elmunicipio</v>
      </c>
      <c r="C137" s="8" t="s">
        <v>714</v>
      </c>
      <c r="D137" s="9" t="s">
        <v>715</v>
      </c>
      <c r="E137" s="10" t="str">
        <f>HYPERLINK("https://twitter.com/elmunicipio/status/1065967848051347456","1065967848051347456")</f>
        <v>1065967848051347456</v>
      </c>
      <c r="F137" s="11" t="s">
        <v>717</v>
      </c>
      <c r="G137" s="12"/>
      <c r="H137" s="12"/>
      <c r="I137" s="13">
        <v>0</v>
      </c>
      <c r="J137" s="13">
        <v>0</v>
      </c>
      <c r="K137" s="14" t="str">
        <f t="shared" ref="K137:K138" si="18">HYPERLINK("http://twitter.com/download/iphone","Twitter for iPhone")</f>
        <v>Twitter for iPhone</v>
      </c>
      <c r="L137" s="13">
        <v>1465</v>
      </c>
      <c r="M137" s="13">
        <v>160</v>
      </c>
      <c r="N137" s="13">
        <v>28</v>
      </c>
      <c r="O137" s="15"/>
      <c r="P137" s="6">
        <v>40546.220856481479</v>
      </c>
      <c r="Q137" s="17" t="s">
        <v>28</v>
      </c>
      <c r="R137" s="18" t="s">
        <v>718</v>
      </c>
      <c r="S137" s="11" t="s">
        <v>719</v>
      </c>
      <c r="T137" s="12"/>
      <c r="U137" s="10" t="str">
        <f>HYPERLINK("https://pbs.twimg.com/profile_images/3743794674/737efa902d93f0827778e488274bb7a8.jpeg","View")</f>
        <v>View</v>
      </c>
    </row>
    <row r="138" spans="1:21" ht="30.6">
      <c r="A138" s="6">
        <v>43427.623981481476</v>
      </c>
      <c r="B138" s="7" t="str">
        <f>HYPERLINK("https://twitter.com/PedroLema9","@PedroLema9")</f>
        <v>@PedroLema9</v>
      </c>
      <c r="C138" s="8" t="s">
        <v>721</v>
      </c>
      <c r="D138" s="9" t="s">
        <v>722</v>
      </c>
      <c r="E138" s="10" t="str">
        <f>HYPERLINK("https://twitter.com/PedroLema9/status/1065967841478942721","1065967841478942721")</f>
        <v>1065967841478942721</v>
      </c>
      <c r="F138" s="12"/>
      <c r="G138" s="12"/>
      <c r="H138" s="12"/>
      <c r="I138" s="13">
        <v>0</v>
      </c>
      <c r="J138" s="13">
        <v>1</v>
      </c>
      <c r="K138" s="14" t="str">
        <f t="shared" si="18"/>
        <v>Twitter for iPhone</v>
      </c>
      <c r="L138" s="13">
        <v>116</v>
      </c>
      <c r="M138" s="13">
        <v>347</v>
      </c>
      <c r="N138" s="13">
        <v>2</v>
      </c>
      <c r="O138" s="15"/>
      <c r="P138" s="6">
        <v>42320.890844907408</v>
      </c>
      <c r="Q138" s="17" t="s">
        <v>141</v>
      </c>
      <c r="R138" s="19"/>
      <c r="S138" s="12"/>
      <c r="T138" s="12"/>
      <c r="U138" s="10" t="str">
        <f>HYPERLINK("https://pbs.twimg.com/profile_images/664902076523225088/fhsETLyY.jpg","View")</f>
        <v>View</v>
      </c>
    </row>
    <row r="139" spans="1:21" ht="40.799999999999997">
      <c r="A139" s="6">
        <v>43427.623912037037</v>
      </c>
      <c r="B139" s="7" t="str">
        <f>HYPERLINK("https://twitter.com/Tylerdurdem2","@Tylerdurdem2")</f>
        <v>@Tylerdurdem2</v>
      </c>
      <c r="C139" s="8" t="s">
        <v>725</v>
      </c>
      <c r="D139" s="9" t="s">
        <v>726</v>
      </c>
      <c r="E139" s="10" t="str">
        <f>HYPERLINK("https://twitter.com/Tylerdurdem2/status/1065967815054757888","1065967815054757888")</f>
        <v>1065967815054757888</v>
      </c>
      <c r="F139" s="12"/>
      <c r="G139" s="12"/>
      <c r="H139" s="12"/>
      <c r="I139" s="13">
        <v>0</v>
      </c>
      <c r="J139" s="13">
        <v>0</v>
      </c>
      <c r="K139" s="14" t="str">
        <f>HYPERLINK("https://mobile.twitter.com","Twitter Lite")</f>
        <v>Twitter Lite</v>
      </c>
      <c r="L139" s="13">
        <v>7</v>
      </c>
      <c r="M139" s="13">
        <v>50</v>
      </c>
      <c r="N139" s="13">
        <v>0</v>
      </c>
      <c r="O139" s="15"/>
      <c r="P139" s="6">
        <v>42044.936226851853</v>
      </c>
      <c r="Q139" s="12"/>
      <c r="R139" s="19"/>
      <c r="S139" s="12"/>
      <c r="T139" s="12"/>
      <c r="U139" s="10" t="str">
        <f>HYPERLINK("https://pbs.twimg.com/profile_images/564900798677540864/XGOpEVyU.jpeg","View")</f>
        <v>View</v>
      </c>
    </row>
    <row r="140" spans="1:21" ht="40.799999999999997">
      <c r="A140" s="6">
        <v>43427.622870370367</v>
      </c>
      <c r="B140" s="7" t="str">
        <f>HYPERLINK("https://twitter.com/EmbaCubaChequia","@EmbaCubaChequia")</f>
        <v>@EmbaCubaChequia</v>
      </c>
      <c r="C140" s="8" t="s">
        <v>727</v>
      </c>
      <c r="D140" s="9" t="s">
        <v>728</v>
      </c>
      <c r="E140" s="10" t="str">
        <f>HYPERLINK("https://twitter.com/EmbaCubaChequia/status/1065967439303856129","1065967439303856129")</f>
        <v>1065967439303856129</v>
      </c>
      <c r="F140" s="12"/>
      <c r="G140" s="11" t="s">
        <v>729</v>
      </c>
      <c r="H140" s="12"/>
      <c r="I140" s="13">
        <v>0</v>
      </c>
      <c r="J140" s="13">
        <v>0</v>
      </c>
      <c r="K140" s="14" t="str">
        <f>HYPERLINK("http://twitter.com","Twitter Web Client")</f>
        <v>Twitter Web Client</v>
      </c>
      <c r="L140" s="13">
        <v>3181</v>
      </c>
      <c r="M140" s="13">
        <v>1740</v>
      </c>
      <c r="N140" s="13">
        <v>29</v>
      </c>
      <c r="O140" s="15"/>
      <c r="P140" s="6">
        <v>41915.869884259257</v>
      </c>
      <c r="Q140" s="17" t="s">
        <v>730</v>
      </c>
      <c r="R140" s="18" t="s">
        <v>731</v>
      </c>
      <c r="S140" s="11" t="s">
        <v>732</v>
      </c>
      <c r="T140" s="12"/>
      <c r="U140" s="10" t="str">
        <f>HYPERLINK("https://pbs.twimg.com/profile_images/808995853771931649/QgROmxX5.jpg","View")</f>
        <v>View</v>
      </c>
    </row>
    <row r="141" spans="1:21" ht="13.2">
      <c r="A141" s="6">
        <v>43427.622662037036</v>
      </c>
      <c r="B141" s="7" t="str">
        <f>HYPERLINK("https://twitter.com/DElTocuyo","@DElTocuyo")</f>
        <v>@DElTocuyo</v>
      </c>
      <c r="C141" s="8" t="s">
        <v>733</v>
      </c>
      <c r="D141" s="9" t="s">
        <v>594</v>
      </c>
      <c r="E141" s="10" t="str">
        <f>HYPERLINK("https://twitter.com/DElTocuyo/status/1065967360912297984","1065967360912297984")</f>
        <v>1065967360912297984</v>
      </c>
      <c r="F141" s="11" t="s">
        <v>734</v>
      </c>
      <c r="G141" s="12"/>
      <c r="H141" s="12"/>
      <c r="I141" s="13">
        <v>0</v>
      </c>
      <c r="J141" s="13">
        <v>0</v>
      </c>
      <c r="K141" s="14" t="str">
        <f t="shared" ref="K141:K142" si="19">HYPERLINK("https://ifttt.com","IFTTT")</f>
        <v>IFTTT</v>
      </c>
      <c r="L141" s="13">
        <v>1933</v>
      </c>
      <c r="M141" s="13">
        <v>164</v>
      </c>
      <c r="N141" s="13">
        <v>16</v>
      </c>
      <c r="O141" s="15"/>
      <c r="P141" s="6">
        <v>40840.181296296294</v>
      </c>
      <c r="Q141" s="12"/>
      <c r="R141" s="19"/>
      <c r="S141" s="12"/>
      <c r="T141" s="12"/>
      <c r="U141" s="10" t="str">
        <f>HYPERLINK("https://pbs.twimg.com/profile_images/2910996187/4fdc7b95233a006afb14342209909dff.jpeg","View")</f>
        <v>View</v>
      </c>
    </row>
    <row r="142" spans="1:21" ht="30.6">
      <c r="A142" s="6">
        <v>43427.621770833328</v>
      </c>
      <c r="B142" s="7" t="str">
        <f>HYPERLINK("https://twitter.com/TuiteoCabudare","@TuiteoCabudare")</f>
        <v>@TuiteoCabudare</v>
      </c>
      <c r="C142" s="8" t="s">
        <v>735</v>
      </c>
      <c r="D142" s="9" t="s">
        <v>594</v>
      </c>
      <c r="E142" s="10" t="str">
        <f>HYPERLINK("https://twitter.com/TuiteoCabudare/status/1065967040635301889","1065967040635301889")</f>
        <v>1065967040635301889</v>
      </c>
      <c r="F142" s="11" t="s">
        <v>736</v>
      </c>
      <c r="G142" s="12"/>
      <c r="H142" s="12"/>
      <c r="I142" s="13">
        <v>0</v>
      </c>
      <c r="J142" s="13">
        <v>0</v>
      </c>
      <c r="K142" s="14" t="str">
        <f t="shared" si="19"/>
        <v>IFTTT</v>
      </c>
      <c r="L142" s="13">
        <v>1509</v>
      </c>
      <c r="M142" s="13">
        <v>61</v>
      </c>
      <c r="N142" s="13">
        <v>50</v>
      </c>
      <c r="O142" s="15"/>
      <c r="P142" s="6">
        <v>41724.879340277781</v>
      </c>
      <c r="Q142" s="17" t="s">
        <v>737</v>
      </c>
      <c r="R142" s="18" t="s">
        <v>738</v>
      </c>
      <c r="S142" s="12"/>
      <c r="T142" s="12"/>
      <c r="U142" s="10" t="str">
        <f>HYPERLINK("https://pbs.twimg.com/profile_images/448918097018101760/_AdehZ--.jpeg","View")</f>
        <v>View</v>
      </c>
    </row>
    <row r="143" spans="1:21" ht="40.799999999999997">
      <c r="A143" s="6">
        <v>43427.621736111112</v>
      </c>
      <c r="B143" s="7" t="str">
        <f>HYPERLINK("https://twitter.com/PCamorrista","@PCamorrista")</f>
        <v>@PCamorrista</v>
      </c>
      <c r="C143" s="8" t="s">
        <v>739</v>
      </c>
      <c r="D143" s="9" t="s">
        <v>740</v>
      </c>
      <c r="E143" s="10" t="str">
        <f>HYPERLINK("https://twitter.com/PCamorrista/status/1065967028132036608","1065967028132036608")</f>
        <v>1065967028132036608</v>
      </c>
      <c r="F143" s="12"/>
      <c r="G143" s="11" t="s">
        <v>741</v>
      </c>
      <c r="H143" s="12"/>
      <c r="I143" s="13">
        <v>29</v>
      </c>
      <c r="J143" s="13">
        <v>22</v>
      </c>
      <c r="K143" s="14" t="str">
        <f t="shared" ref="K143:K144" si="20">HYPERLINK("http://twitter.com/download/iphone","Twitter for iPhone")</f>
        <v>Twitter for iPhone</v>
      </c>
      <c r="L143" s="13">
        <v>1953</v>
      </c>
      <c r="M143" s="13">
        <v>1977</v>
      </c>
      <c r="N143" s="13">
        <v>10</v>
      </c>
      <c r="O143" s="15"/>
      <c r="P143" s="6">
        <v>43114.384884259256</v>
      </c>
      <c r="Q143" s="17" t="s">
        <v>28</v>
      </c>
      <c r="R143" s="18" t="s">
        <v>742</v>
      </c>
      <c r="S143" s="11" t="s">
        <v>743</v>
      </c>
      <c r="T143" s="12"/>
      <c r="U143" s="10" t="str">
        <f>HYPERLINK("https://pbs.twimg.com/profile_images/952459031083397120/u6DBThkF.jpg","View")</f>
        <v>View</v>
      </c>
    </row>
    <row r="144" spans="1:21" ht="30.6">
      <c r="A144" s="6">
        <v>43427.621655092589</v>
      </c>
      <c r="B144" s="7" t="str">
        <f>HYPERLINK("https://twitter.com/emily_habsburg","@emily_habsburg")</f>
        <v>@emily_habsburg</v>
      </c>
      <c r="C144" s="8" t="s">
        <v>744</v>
      </c>
      <c r="D144" s="9" t="s">
        <v>745</v>
      </c>
      <c r="E144" s="10" t="str">
        <f>HYPERLINK("https://twitter.com/emily_habsburg/status/1065966995735228417","1065966995735228417")</f>
        <v>1065966995735228417</v>
      </c>
      <c r="F144" s="11" t="s">
        <v>746</v>
      </c>
      <c r="G144" s="12"/>
      <c r="H144" s="12"/>
      <c r="I144" s="13">
        <v>0</v>
      </c>
      <c r="J144" s="13">
        <v>0</v>
      </c>
      <c r="K144" s="14" t="str">
        <f t="shared" si="20"/>
        <v>Twitter for iPhone</v>
      </c>
      <c r="L144" s="13">
        <v>5497</v>
      </c>
      <c r="M144" s="13">
        <v>1943</v>
      </c>
      <c r="N144" s="13">
        <v>51</v>
      </c>
      <c r="O144" s="15"/>
      <c r="P144" s="6">
        <v>40615.929212962961</v>
      </c>
      <c r="Q144" s="17" t="s">
        <v>747</v>
      </c>
      <c r="R144" s="18" t="s">
        <v>748</v>
      </c>
      <c r="S144" s="12"/>
      <c r="T144" s="12"/>
      <c r="U144" s="10" t="str">
        <f>HYPERLINK("https://pbs.twimg.com/profile_images/1065714014200713216/vIuzOdsT.jpg","View")</f>
        <v>View</v>
      </c>
    </row>
    <row r="145" spans="1:21" ht="51">
      <c r="A145" s="6">
        <v>43427.62164351852</v>
      </c>
      <c r="B145" s="7" t="str">
        <f>HYPERLINK("https://twitter.com/DianaOrtegaG","@DianaOrtegaG")</f>
        <v>@DianaOrtegaG</v>
      </c>
      <c r="C145" s="8" t="s">
        <v>749</v>
      </c>
      <c r="D145" s="9" t="s">
        <v>750</v>
      </c>
      <c r="E145" s="10" t="str">
        <f>HYPERLINK("https://twitter.com/DianaOrtegaG/status/1065966991213817858","1065966991213817858")</f>
        <v>1065966991213817858</v>
      </c>
      <c r="F145" s="11" t="s">
        <v>751</v>
      </c>
      <c r="G145" s="11" t="s">
        <v>752</v>
      </c>
      <c r="H145" s="12"/>
      <c r="I145" s="13">
        <v>0</v>
      </c>
      <c r="J145" s="13">
        <v>0</v>
      </c>
      <c r="K145" s="14" t="str">
        <f>HYPERLINK("http://twitter.com/download/android","Twitter for Android")</f>
        <v>Twitter for Android</v>
      </c>
      <c r="L145" s="13">
        <v>957</v>
      </c>
      <c r="M145" s="13">
        <v>502</v>
      </c>
      <c r="N145" s="13">
        <v>20</v>
      </c>
      <c r="O145" s="15"/>
      <c r="P145" s="6">
        <v>40478.728865740741</v>
      </c>
      <c r="Q145" s="17" t="s">
        <v>754</v>
      </c>
      <c r="R145" s="18" t="s">
        <v>755</v>
      </c>
      <c r="S145" s="11" t="s">
        <v>756</v>
      </c>
      <c r="T145" s="12"/>
      <c r="U145" s="10" t="str">
        <f>HYPERLINK("https://pbs.twimg.com/profile_images/1053542674865758208/F_ueHPi7.jpg","View")</f>
        <v>View</v>
      </c>
    </row>
    <row r="146" spans="1:21" ht="51">
      <c r="A146" s="6">
        <v>43427.621481481481</v>
      </c>
      <c r="B146" s="7" t="str">
        <f>HYPERLINK("https://twitter.com/jorgepravia","@jorgepravia")</f>
        <v>@jorgepravia</v>
      </c>
      <c r="C146" s="8" t="s">
        <v>757</v>
      </c>
      <c r="D146" s="9" t="s">
        <v>758</v>
      </c>
      <c r="E146" s="10" t="str">
        <f>HYPERLINK("https://twitter.com/jorgepravia/status/1065966933256953856","1065966933256953856")</f>
        <v>1065966933256953856</v>
      </c>
      <c r="F146" s="12"/>
      <c r="G146" s="12"/>
      <c r="H146" s="12"/>
      <c r="I146" s="13">
        <v>2</v>
      </c>
      <c r="J146" s="13">
        <v>1</v>
      </c>
      <c r="K146" s="14" t="str">
        <f t="shared" ref="K146:K147" si="21">HYPERLINK("http://twitter.com","Twitter Web Client")</f>
        <v>Twitter Web Client</v>
      </c>
      <c r="L146" s="13">
        <v>5142</v>
      </c>
      <c r="M146" s="13">
        <v>4624</v>
      </c>
      <c r="N146" s="13">
        <v>44</v>
      </c>
      <c r="O146" s="15"/>
      <c r="P146" s="6">
        <v>40837.646643518521</v>
      </c>
      <c r="Q146" s="17" t="s">
        <v>759</v>
      </c>
      <c r="R146" s="18" t="s">
        <v>760</v>
      </c>
      <c r="S146" s="12"/>
      <c r="T146" s="12"/>
      <c r="U146" s="10" t="str">
        <f>HYPERLINK("https://pbs.twimg.com/profile_images/540581874859388928/We8fm4ao.jpeg","View")</f>
        <v>View</v>
      </c>
    </row>
    <row r="147" spans="1:21" ht="30.6">
      <c r="A147" s="6">
        <v>43427.621365740742</v>
      </c>
      <c r="B147" s="7" t="str">
        <f>HYPERLINK("https://twitter.com/rafalino71","@rafalino71")</f>
        <v>@rafalino71</v>
      </c>
      <c r="C147" s="8" t="s">
        <v>761</v>
      </c>
      <c r="D147" s="9" t="s">
        <v>287</v>
      </c>
      <c r="E147" s="10" t="str">
        <f>HYPERLINK("https://twitter.com/rafalino71/status/1065966890286227458","1065966890286227458")</f>
        <v>1065966890286227458</v>
      </c>
      <c r="F147" s="11" t="s">
        <v>762</v>
      </c>
      <c r="G147" s="12"/>
      <c r="H147" s="12"/>
      <c r="I147" s="13">
        <v>0</v>
      </c>
      <c r="J147" s="13">
        <v>0</v>
      </c>
      <c r="K147" s="14" t="str">
        <f t="shared" si="21"/>
        <v>Twitter Web Client</v>
      </c>
      <c r="L147" s="13">
        <v>272</v>
      </c>
      <c r="M147" s="13">
        <v>995</v>
      </c>
      <c r="N147" s="13">
        <v>0</v>
      </c>
      <c r="O147" s="15"/>
      <c r="P147" s="6">
        <v>42242.782118055555</v>
      </c>
      <c r="Q147" s="17" t="s">
        <v>763</v>
      </c>
      <c r="R147" s="18" t="s">
        <v>764</v>
      </c>
      <c r="S147" s="12"/>
      <c r="T147" s="12"/>
      <c r="U147" s="10" t="str">
        <f>HYPERLINK("https://pbs.twimg.com/profile_images/636581458577068033/vAwdEi1B.jpg","View")</f>
        <v>View</v>
      </c>
    </row>
    <row r="148" spans="1:21" ht="13.2">
      <c r="A148" s="6">
        <v>43427.620520833334</v>
      </c>
      <c r="B148" s="7" t="str">
        <f>HYPERLINK("https://twitter.com/PrensaMoran","@PrensaMoran")</f>
        <v>@PrensaMoran</v>
      </c>
      <c r="C148" s="8" t="s">
        <v>765</v>
      </c>
      <c r="D148" s="9" t="s">
        <v>594</v>
      </c>
      <c r="E148" s="10" t="str">
        <f>HYPERLINK("https://twitter.com/PrensaMoran/status/1065966588057272320","1065966588057272320")</f>
        <v>1065966588057272320</v>
      </c>
      <c r="F148" s="11" t="s">
        <v>767</v>
      </c>
      <c r="G148" s="11" t="s">
        <v>768</v>
      </c>
      <c r="H148" s="12"/>
      <c r="I148" s="13">
        <v>0</v>
      </c>
      <c r="J148" s="13">
        <v>0</v>
      </c>
      <c r="K148" s="14" t="str">
        <f t="shared" ref="K148:K151" si="22">HYPERLINK("https://ifttt.com","IFTTT")</f>
        <v>IFTTT</v>
      </c>
      <c r="L148" s="13">
        <v>1242</v>
      </c>
      <c r="M148" s="13">
        <v>37</v>
      </c>
      <c r="N148" s="13">
        <v>0</v>
      </c>
      <c r="O148" s="15"/>
      <c r="P148" s="6">
        <v>41537.310358796298</v>
      </c>
      <c r="Q148" s="12"/>
      <c r="R148" s="19"/>
      <c r="S148" s="11" t="s">
        <v>769</v>
      </c>
      <c r="T148" s="12"/>
      <c r="U148" s="10" t="str">
        <f>HYPERLINK("https://pbs.twimg.com/profile_images/412414616526811136/YaAP5_qC.jpeg","View")</f>
        <v>View</v>
      </c>
    </row>
    <row r="149" spans="1:21" ht="13.2">
      <c r="A149" s="6">
        <v>43427.620254629626</v>
      </c>
      <c r="B149" s="7" t="str">
        <f>HYPERLINK("https://twitter.com/titulares24hora","@titulares24hora")</f>
        <v>@titulares24hora</v>
      </c>
      <c r="C149" s="8" t="s">
        <v>112</v>
      </c>
      <c r="D149" s="9" t="s">
        <v>772</v>
      </c>
      <c r="E149" s="10" t="str">
        <f>HYPERLINK("https://twitter.com/titulares24hora/status/1065966489453367297","1065966489453367297")</f>
        <v>1065966489453367297</v>
      </c>
      <c r="F149" s="12"/>
      <c r="G149" s="12"/>
      <c r="H149" s="12"/>
      <c r="I149" s="13">
        <v>0</v>
      </c>
      <c r="J149" s="13">
        <v>0</v>
      </c>
      <c r="K149" s="14" t="str">
        <f t="shared" si="22"/>
        <v>IFTTT</v>
      </c>
      <c r="L149" s="13">
        <v>394</v>
      </c>
      <c r="M149" s="13">
        <v>1463</v>
      </c>
      <c r="N149" s="13">
        <v>2</v>
      </c>
      <c r="O149" s="15"/>
      <c r="P149" s="6">
        <v>42508.446805555555</v>
      </c>
      <c r="Q149" s="12"/>
      <c r="R149" s="18" t="s">
        <v>116</v>
      </c>
      <c r="S149" s="12"/>
      <c r="T149" s="12"/>
      <c r="U149" s="10" t="str">
        <f>HYPERLINK("https://pbs.twimg.com/profile_images/732855169034166272/A8O2LY2J.jpg","View")</f>
        <v>View</v>
      </c>
    </row>
    <row r="150" spans="1:21" ht="20.399999999999999">
      <c r="A150" s="6">
        <v>43427.619884259257</v>
      </c>
      <c r="B150" s="7" t="str">
        <f>HYPERLINK("https://twitter.com/adelacafe93","@adelacafe93")</f>
        <v>@adelacafe93</v>
      </c>
      <c r="C150" s="8" t="s">
        <v>121</v>
      </c>
      <c r="D150" s="9" t="s">
        <v>772</v>
      </c>
      <c r="E150" s="10" t="str">
        <f>HYPERLINK("https://twitter.com/adelacafe93/status/1065966355910922240","1065966355910922240")</f>
        <v>1065966355910922240</v>
      </c>
      <c r="F150" s="11" t="s">
        <v>773</v>
      </c>
      <c r="G150" s="12"/>
      <c r="H150" s="12"/>
      <c r="I150" s="13">
        <v>0</v>
      </c>
      <c r="J150" s="13">
        <v>0</v>
      </c>
      <c r="K150" s="14" t="str">
        <f t="shared" si="22"/>
        <v>IFTTT</v>
      </c>
      <c r="L150" s="13">
        <v>18</v>
      </c>
      <c r="M150" s="13">
        <v>47</v>
      </c>
      <c r="N150" s="13">
        <v>0</v>
      </c>
      <c r="O150" s="15"/>
      <c r="P150" s="6">
        <v>42761.615034722221</v>
      </c>
      <c r="Q150" s="17" t="s">
        <v>123</v>
      </c>
      <c r="R150" s="18" t="s">
        <v>124</v>
      </c>
      <c r="S150" s="12"/>
      <c r="T150" s="12"/>
      <c r="U150" s="10" t="str">
        <f>HYPERLINK("https://pbs.twimg.com/profile_images/824614694078013444/fkDV_Y0Z.jpg","View")</f>
        <v>View</v>
      </c>
    </row>
    <row r="151" spans="1:21" ht="20.399999999999999">
      <c r="A151" s="6">
        <v>43427.619745370372</v>
      </c>
      <c r="B151" s="7" t="str">
        <f>HYPERLINK("https://twitter.com/TuiteoAragua","@TuiteoAragua")</f>
        <v>@TuiteoAragua</v>
      </c>
      <c r="C151" s="8" t="s">
        <v>774</v>
      </c>
      <c r="D151" s="9" t="s">
        <v>594</v>
      </c>
      <c r="E151" s="10" t="str">
        <f>HYPERLINK("https://twitter.com/TuiteoAragua/status/1065966305524764672","1065966305524764672")</f>
        <v>1065966305524764672</v>
      </c>
      <c r="F151" s="11" t="s">
        <v>775</v>
      </c>
      <c r="G151" s="12"/>
      <c r="H151" s="12"/>
      <c r="I151" s="13">
        <v>0</v>
      </c>
      <c r="J151" s="13">
        <v>0</v>
      </c>
      <c r="K151" s="14" t="str">
        <f t="shared" si="22"/>
        <v>IFTTT</v>
      </c>
      <c r="L151" s="13">
        <v>1644</v>
      </c>
      <c r="M151" s="13">
        <v>675</v>
      </c>
      <c r="N151" s="13">
        <v>24</v>
      </c>
      <c r="O151" s="15"/>
      <c r="P151" s="6">
        <v>41473.20585648148</v>
      </c>
      <c r="Q151" s="12"/>
      <c r="R151" s="18" t="s">
        <v>776</v>
      </c>
      <c r="S151" s="11" t="s">
        <v>777</v>
      </c>
      <c r="T151" s="12"/>
      <c r="U151" s="10" t="str">
        <f>HYPERLINK("https://pbs.twimg.com/profile_images/508435765374644224/_Tvimiik.png","View")</f>
        <v>View</v>
      </c>
    </row>
    <row r="152" spans="1:21" ht="30.6">
      <c r="A152" s="6">
        <v>43427.619537037041</v>
      </c>
      <c r="B152" s="7" t="str">
        <f>HYPERLINK("https://twitter.com/EspanaJusta10","@EspanaJusta10")</f>
        <v>@EspanaJusta10</v>
      </c>
      <c r="C152" s="8" t="s">
        <v>778</v>
      </c>
      <c r="D152" s="9" t="s">
        <v>779</v>
      </c>
      <c r="E152" s="10" t="str">
        <f>HYPERLINK("https://twitter.com/EspanaJusta10/status/1065966227980468224","1065966227980468224")</f>
        <v>1065966227980468224</v>
      </c>
      <c r="F152" s="11" t="s">
        <v>780</v>
      </c>
      <c r="G152" s="12"/>
      <c r="H152" s="12"/>
      <c r="I152" s="13">
        <v>0</v>
      </c>
      <c r="J152" s="13">
        <v>0</v>
      </c>
      <c r="K152" s="14" t="str">
        <f t="shared" ref="K152:K153" si="23">HYPERLINK("http://twitter.com","Twitter Web Client")</f>
        <v>Twitter Web Client</v>
      </c>
      <c r="L152" s="13">
        <v>251</v>
      </c>
      <c r="M152" s="13">
        <v>784</v>
      </c>
      <c r="N152" s="13">
        <v>0</v>
      </c>
      <c r="O152" s="15"/>
      <c r="P152" s="6">
        <v>43384.003148148149</v>
      </c>
      <c r="Q152" s="17" t="s">
        <v>27</v>
      </c>
      <c r="R152" s="18" t="s">
        <v>781</v>
      </c>
      <c r="S152" s="12"/>
      <c r="T152" s="12"/>
      <c r="U152" s="10" t="str">
        <f>HYPERLINK("https://pbs.twimg.com/profile_images/1050164153313320960/E5l4rbsK.jpg","View")</f>
        <v>View</v>
      </c>
    </row>
    <row r="153" spans="1:21" ht="51">
      <c r="A153" s="6">
        <v>43427.618668981479</v>
      </c>
      <c r="B153" s="7" t="str">
        <f>HYPERLINK("https://twitter.com/MuyLiberal","@MuyLiberal")</f>
        <v>@MuyLiberal</v>
      </c>
      <c r="C153" s="8" t="s">
        <v>782</v>
      </c>
      <c r="D153" s="9" t="s">
        <v>783</v>
      </c>
      <c r="E153" s="10" t="str">
        <f>HYPERLINK("https://twitter.com/MuyLiberal/status/1065965913948725250","1065965913948725250")</f>
        <v>1065965913948725250</v>
      </c>
      <c r="F153" s="11" t="s">
        <v>784</v>
      </c>
      <c r="G153" s="12"/>
      <c r="H153" s="12"/>
      <c r="I153" s="13">
        <v>10</v>
      </c>
      <c r="J153" s="13">
        <v>9</v>
      </c>
      <c r="K153" s="14" t="str">
        <f t="shared" si="23"/>
        <v>Twitter Web Client</v>
      </c>
      <c r="L153" s="13">
        <v>29339</v>
      </c>
      <c r="M153" s="13">
        <v>1972</v>
      </c>
      <c r="N153" s="13">
        <v>238</v>
      </c>
      <c r="O153" s="16" t="s">
        <v>26</v>
      </c>
      <c r="P153" s="6">
        <v>41184.784629629634</v>
      </c>
      <c r="Q153" s="12"/>
      <c r="R153" s="18" t="s">
        <v>785</v>
      </c>
      <c r="S153" s="11" t="s">
        <v>786</v>
      </c>
      <c r="T153" s="12"/>
      <c r="U153" s="10" t="str">
        <f>HYPERLINK("https://pbs.twimg.com/profile_images/1065892129539530753/g638P6sH.jpg","View")</f>
        <v>View</v>
      </c>
    </row>
    <row r="154" spans="1:21" ht="20.399999999999999">
      <c r="A154" s="6">
        <v>43427.618611111116</v>
      </c>
      <c r="B154" s="7" t="str">
        <f>HYPERLINK("https://twitter.com/LaRazon_mx","@LaRazon_mx")</f>
        <v>@LaRazon_mx</v>
      </c>
      <c r="C154" s="8" t="s">
        <v>787</v>
      </c>
      <c r="D154" s="9" t="s">
        <v>788</v>
      </c>
      <c r="E154" s="10" t="str">
        <f>HYPERLINK("https://twitter.com/LaRazon_mx/status/1065965893941895169","1065965893941895169")</f>
        <v>1065965893941895169</v>
      </c>
      <c r="F154" s="11" t="s">
        <v>789</v>
      </c>
      <c r="G154" s="12"/>
      <c r="H154" s="12"/>
      <c r="I154" s="13">
        <v>1</v>
      </c>
      <c r="J154" s="13">
        <v>0</v>
      </c>
      <c r="K154" s="14" t="str">
        <f>HYPERLINK("http://twitter.com/download/android","Twitter for Android")</f>
        <v>Twitter for Android</v>
      </c>
      <c r="L154" s="13">
        <v>117363</v>
      </c>
      <c r="M154" s="13">
        <v>1828</v>
      </c>
      <c r="N154" s="13">
        <v>1758</v>
      </c>
      <c r="O154" s="16" t="s">
        <v>26</v>
      </c>
      <c r="P154" s="6">
        <v>39979.785127314812</v>
      </c>
      <c r="Q154" s="17" t="s">
        <v>790</v>
      </c>
      <c r="R154" s="18" t="s">
        <v>791</v>
      </c>
      <c r="S154" s="11" t="s">
        <v>792</v>
      </c>
      <c r="T154" s="12"/>
      <c r="U154" s="10" t="str">
        <f>HYPERLINK("https://pbs.twimg.com/profile_images/1059484389988597766/i0zWaUu9.jpg","View")</f>
        <v>View</v>
      </c>
    </row>
    <row r="155" spans="1:21" ht="40.799999999999997">
      <c r="A155" s="6">
        <v>43427.618599537032</v>
      </c>
      <c r="B155" s="7" t="str">
        <f>HYPERLINK("https://twitter.com/jcubgal","@jcubgal")</f>
        <v>@jcubgal</v>
      </c>
      <c r="C155" s="8" t="s">
        <v>793</v>
      </c>
      <c r="D155" s="9" t="s">
        <v>794</v>
      </c>
      <c r="E155" s="10" t="str">
        <f>HYPERLINK("https://twitter.com/jcubgal/status/1065965888602587136","1065965888602587136")</f>
        <v>1065965888602587136</v>
      </c>
      <c r="F155" s="11" t="s">
        <v>320</v>
      </c>
      <c r="G155" s="12"/>
      <c r="H155" s="12"/>
      <c r="I155" s="13">
        <v>0</v>
      </c>
      <c r="J155" s="13">
        <v>0</v>
      </c>
      <c r="K155" s="14" t="str">
        <f>HYPERLINK("http://twitter.com","Twitter Web Client")</f>
        <v>Twitter Web Client</v>
      </c>
      <c r="L155" s="13">
        <v>1778</v>
      </c>
      <c r="M155" s="13">
        <v>1756</v>
      </c>
      <c r="N155" s="13">
        <v>13</v>
      </c>
      <c r="O155" s="15"/>
      <c r="P155" s="6">
        <v>40674.664629629631</v>
      </c>
      <c r="Q155" s="17" t="s">
        <v>141</v>
      </c>
      <c r="R155" s="18" t="s">
        <v>795</v>
      </c>
      <c r="S155" s="12"/>
      <c r="T155" s="12"/>
      <c r="U155" s="10" t="str">
        <f>HYPERLINK("https://pbs.twimg.com/profile_images/451398831586820096/A3pz4Cki.jpeg","View")</f>
        <v>View</v>
      </c>
    </row>
    <row r="156" spans="1:21" ht="20.399999999999999">
      <c r="A156" s="6">
        <v>43427.617465277777</v>
      </c>
      <c r="B156" s="7" t="str">
        <f>HYPERLINK("https://twitter.com/TuiteoValencia","@TuiteoValencia")</f>
        <v>@TuiteoValencia</v>
      </c>
      <c r="C156" s="8" t="s">
        <v>796</v>
      </c>
      <c r="D156" s="9" t="s">
        <v>594</v>
      </c>
      <c r="E156" s="10" t="str">
        <f>HYPERLINK("https://twitter.com/TuiteoValencia/status/1065965480639455232","1065965480639455232")</f>
        <v>1065965480639455232</v>
      </c>
      <c r="F156" s="11" t="s">
        <v>798</v>
      </c>
      <c r="G156" s="12"/>
      <c r="H156" s="12"/>
      <c r="I156" s="13">
        <v>0</v>
      </c>
      <c r="J156" s="13">
        <v>0</v>
      </c>
      <c r="K156" s="14" t="str">
        <f t="shared" ref="K156:K157" si="24">HYPERLINK("https://ifttt.com","IFTTT")</f>
        <v>IFTTT</v>
      </c>
      <c r="L156" s="13">
        <v>2641</v>
      </c>
      <c r="M156" s="13">
        <v>582</v>
      </c>
      <c r="N156" s="13">
        <v>86</v>
      </c>
      <c r="O156" s="15"/>
      <c r="P156" s="6">
        <v>41642.81449074074</v>
      </c>
      <c r="Q156" s="12"/>
      <c r="R156" s="18" t="s">
        <v>799</v>
      </c>
      <c r="S156" s="12"/>
      <c r="T156" s="12"/>
      <c r="U156" s="10" t="str">
        <f>HYPERLINK("https://pbs.twimg.com/profile_images/508431735042744321/T5L49Dk9.png","View")</f>
        <v>View</v>
      </c>
    </row>
    <row r="157" spans="1:21" ht="20.399999999999999">
      <c r="A157" s="6">
        <v>43427.617303240739</v>
      </c>
      <c r="B157" s="7" t="str">
        <f>HYPERLINK("https://twitter.com/GolpeTocuyano","@GolpeTocuyano")</f>
        <v>@GolpeTocuyano</v>
      </c>
      <c r="C157" s="8" t="s">
        <v>800</v>
      </c>
      <c r="D157" s="9" t="s">
        <v>801</v>
      </c>
      <c r="E157" s="10" t="str">
        <f>HYPERLINK("https://twitter.com/GolpeTocuyano/status/1065965420027539456","1065965420027539456")</f>
        <v>1065965420027539456</v>
      </c>
      <c r="F157" s="11" t="s">
        <v>802</v>
      </c>
      <c r="G157" s="11" t="s">
        <v>803</v>
      </c>
      <c r="H157" s="12"/>
      <c r="I157" s="13">
        <v>0</v>
      </c>
      <c r="J157" s="13">
        <v>0</v>
      </c>
      <c r="K157" s="14" t="str">
        <f t="shared" si="24"/>
        <v>IFTTT</v>
      </c>
      <c r="L157" s="13">
        <v>916</v>
      </c>
      <c r="M157" s="13">
        <v>58</v>
      </c>
      <c r="N157" s="13">
        <v>0</v>
      </c>
      <c r="O157" s="15"/>
      <c r="P157" s="6">
        <v>40818.66951388889</v>
      </c>
      <c r="Q157" s="12"/>
      <c r="R157" s="19"/>
      <c r="S157" s="12"/>
      <c r="T157" s="12"/>
      <c r="U157" s="10" t="str">
        <f>HYPERLINK("https://pbs.twimg.com/profile_images/2263595054/images.jpg","View")</f>
        <v>View</v>
      </c>
    </row>
    <row r="158" spans="1:21" ht="30.6">
      <c r="A158" s="6">
        <v>43427.616932870369</v>
      </c>
      <c r="B158" s="7" t="str">
        <f>HYPERLINK("https://twitter.com/ChezNieto","@ChezNieto")</f>
        <v>@ChezNieto</v>
      </c>
      <c r="C158" s="8" t="s">
        <v>804</v>
      </c>
      <c r="D158" s="9" t="s">
        <v>332</v>
      </c>
      <c r="E158" s="10" t="str">
        <f>HYPERLINK("https://twitter.com/ChezNieto/status/1065965284006248453","1065965284006248453")</f>
        <v>1065965284006248453</v>
      </c>
      <c r="F158" s="11" t="s">
        <v>805</v>
      </c>
      <c r="G158" s="12"/>
      <c r="H158" s="12"/>
      <c r="I158" s="13">
        <v>0</v>
      </c>
      <c r="J158" s="13">
        <v>0</v>
      </c>
      <c r="K158" s="14" t="str">
        <f>HYPERLINK("http://twitter.com","Twitter Web Client")</f>
        <v>Twitter Web Client</v>
      </c>
      <c r="L158" s="13">
        <v>5050</v>
      </c>
      <c r="M158" s="13">
        <v>4756</v>
      </c>
      <c r="N158" s="13">
        <v>50</v>
      </c>
      <c r="O158" s="15"/>
      <c r="P158" s="6">
        <v>41341.600729166668</v>
      </c>
      <c r="Q158" s="17" t="s">
        <v>28</v>
      </c>
      <c r="R158" s="18" t="s">
        <v>806</v>
      </c>
      <c r="S158" s="12"/>
      <c r="T158" s="12"/>
      <c r="U158" s="10" t="str">
        <f>HYPERLINK("https://pbs.twimg.com/profile_images/3750051142/df497636f6b21e0abf733a0e65a50087.jpeg","View")</f>
        <v>View</v>
      </c>
    </row>
    <row r="159" spans="1:21" ht="40.799999999999997">
      <c r="A159" s="6">
        <v>43427.6169212963</v>
      </c>
      <c r="B159" s="7" t="str">
        <f>HYPERLINK("https://twitter.com/MirentxuCastro","@MirentxuCastro")</f>
        <v>@MirentxuCastro</v>
      </c>
      <c r="C159" s="8" t="s">
        <v>808</v>
      </c>
      <c r="D159" s="9" t="s">
        <v>463</v>
      </c>
      <c r="E159" s="10" t="str">
        <f>HYPERLINK("https://twitter.com/MirentxuCastro/status/1065965282194280450","1065965282194280450")</f>
        <v>1065965282194280450</v>
      </c>
      <c r="F159" s="11" t="s">
        <v>809</v>
      </c>
      <c r="G159" s="12"/>
      <c r="H159" s="12"/>
      <c r="I159" s="13">
        <v>0</v>
      </c>
      <c r="J159" s="13">
        <v>0</v>
      </c>
      <c r="K159" s="14" t="str">
        <f t="shared" ref="K159:K161" si="25">HYPERLINK("https://ifttt.com","IFTTT")</f>
        <v>IFTTT</v>
      </c>
      <c r="L159" s="13">
        <v>692</v>
      </c>
      <c r="M159" s="13">
        <v>766</v>
      </c>
      <c r="N159" s="13">
        <v>53</v>
      </c>
      <c r="O159" s="15"/>
      <c r="P159" s="6">
        <v>41303.885763888888</v>
      </c>
      <c r="Q159" s="12"/>
      <c r="R159" s="18" t="s">
        <v>813</v>
      </c>
      <c r="S159" s="11" t="s">
        <v>814</v>
      </c>
      <c r="T159" s="12"/>
      <c r="U159" s="10" t="str">
        <f>HYPERLINK("https://pbs.twimg.com/profile_images/3180813917/ab3d0a1a7e57eae8e56ca24cc8d64cae.jpeg","View")</f>
        <v>View</v>
      </c>
    </row>
    <row r="160" spans="1:21" ht="30.6">
      <c r="A160" s="6">
        <v>43427.6169212963</v>
      </c>
      <c r="B160" s="7" t="str">
        <f>HYPERLINK("https://twitter.com/TuiteoCaracas","@TuiteoCaracas")</f>
        <v>@TuiteoCaracas</v>
      </c>
      <c r="C160" s="8" t="s">
        <v>816</v>
      </c>
      <c r="D160" s="9" t="s">
        <v>594</v>
      </c>
      <c r="E160" s="10" t="str">
        <f>HYPERLINK("https://twitter.com/TuiteoCaracas/status/1065965281200275458","1065965281200275458")</f>
        <v>1065965281200275458</v>
      </c>
      <c r="F160" s="11" t="s">
        <v>817</v>
      </c>
      <c r="G160" s="12"/>
      <c r="H160" s="12"/>
      <c r="I160" s="13">
        <v>0</v>
      </c>
      <c r="J160" s="13">
        <v>0</v>
      </c>
      <c r="K160" s="14" t="str">
        <f t="shared" si="25"/>
        <v>IFTTT</v>
      </c>
      <c r="L160" s="13">
        <v>1726</v>
      </c>
      <c r="M160" s="13">
        <v>592</v>
      </c>
      <c r="N160" s="13">
        <v>56</v>
      </c>
      <c r="O160" s="15"/>
      <c r="P160" s="6">
        <v>41328.135844907403</v>
      </c>
      <c r="Q160" s="17" t="s">
        <v>820</v>
      </c>
      <c r="R160" s="18" t="s">
        <v>821</v>
      </c>
      <c r="S160" s="12"/>
      <c r="T160" s="12"/>
      <c r="U160" s="10" t="str">
        <f>HYPERLINK("https://pbs.twimg.com/profile_images/513835522590908417/fpFMqr7y.jpeg","View")</f>
        <v>View</v>
      </c>
    </row>
    <row r="161" spans="1:21" ht="13.2">
      <c r="A161" s="6">
        <v>43427.616793981477</v>
      </c>
      <c r="B161" s="7" t="str">
        <f>HYPERLINK("https://twitter.com/TuiteoTachira","@TuiteoTachira")</f>
        <v>@TuiteoTachira</v>
      </c>
      <c r="C161" s="8" t="s">
        <v>822</v>
      </c>
      <c r="D161" s="9" t="s">
        <v>594</v>
      </c>
      <c r="E161" s="10" t="str">
        <f>HYPERLINK("https://twitter.com/TuiteoTachira/status/1065965233578172416","1065965233578172416")</f>
        <v>1065965233578172416</v>
      </c>
      <c r="F161" s="11" t="s">
        <v>823</v>
      </c>
      <c r="G161" s="12"/>
      <c r="H161" s="12"/>
      <c r="I161" s="13">
        <v>0</v>
      </c>
      <c r="J161" s="13">
        <v>0</v>
      </c>
      <c r="K161" s="14" t="str">
        <f t="shared" si="25"/>
        <v>IFTTT</v>
      </c>
      <c r="L161" s="13">
        <v>2760</v>
      </c>
      <c r="M161" s="13">
        <v>285</v>
      </c>
      <c r="N161" s="13">
        <v>66</v>
      </c>
      <c r="O161" s="15"/>
      <c r="P161" s="6">
        <v>41844.836377314816</v>
      </c>
      <c r="Q161" s="12"/>
      <c r="R161" s="19"/>
      <c r="S161" s="12"/>
      <c r="T161" s="12"/>
      <c r="U161" s="10" t="str">
        <f>HYPERLINK("https://pbs.twimg.com/profile_images/492371228200415234/AuWjyDNv.jpeg","View")</f>
        <v>View</v>
      </c>
    </row>
    <row r="162" spans="1:21" ht="30.6">
      <c r="A162" s="6">
        <v>43427.616689814815</v>
      </c>
      <c r="B162" s="7" t="str">
        <f>HYPERLINK("https://twitter.com/InfoSinBandera","@InfoSinBandera")</f>
        <v>@InfoSinBandera</v>
      </c>
      <c r="C162" s="8" t="s">
        <v>824</v>
      </c>
      <c r="D162" s="9" t="s">
        <v>825</v>
      </c>
      <c r="E162" s="10" t="str">
        <f>HYPERLINK("https://twitter.com/InfoSinBandera/status/1065965198513709058","1065965198513709058")</f>
        <v>1065965198513709058</v>
      </c>
      <c r="F162" s="11" t="s">
        <v>827</v>
      </c>
      <c r="G162" s="11" t="s">
        <v>828</v>
      </c>
      <c r="H162" s="12"/>
      <c r="I162" s="13">
        <v>0</v>
      </c>
      <c r="J162" s="13">
        <v>0</v>
      </c>
      <c r="K162" s="14" t="str">
        <f>HYPERLINK("http://www.informesinbandera.com/","InfoSinBanderaApp")</f>
        <v>InfoSinBanderaApp</v>
      </c>
      <c r="L162" s="13">
        <v>58233</v>
      </c>
      <c r="M162" s="13">
        <v>57624</v>
      </c>
      <c r="N162" s="13">
        <v>113</v>
      </c>
      <c r="O162" s="15"/>
      <c r="P162" s="6">
        <v>41310.720555555556</v>
      </c>
      <c r="Q162" s="12"/>
      <c r="R162" s="18" t="s">
        <v>829</v>
      </c>
      <c r="S162" s="11" t="s">
        <v>830</v>
      </c>
      <c r="T162" s="12"/>
      <c r="U162" s="10" t="str">
        <f>HYPERLINK("https://pbs.twimg.com/profile_images/556874162002620416/uqPOBVyi.png","View")</f>
        <v>View</v>
      </c>
    </row>
    <row r="163" spans="1:21" ht="13.2">
      <c r="A163" s="6">
        <v>43427.616574074069</v>
      </c>
      <c r="B163" s="7" t="str">
        <f>HYPERLINK("https://twitter.com/msvbr61","@msvbr61")</f>
        <v>@msvbr61</v>
      </c>
      <c r="C163" s="8" t="s">
        <v>831</v>
      </c>
      <c r="D163" s="9" t="s">
        <v>832</v>
      </c>
      <c r="E163" s="10" t="str">
        <f>HYPERLINK("https://twitter.com/msvbr61/status/1065965154871926786","1065965154871926786")</f>
        <v>1065965154871926786</v>
      </c>
      <c r="F163" s="11" t="s">
        <v>833</v>
      </c>
      <c r="G163" s="11" t="s">
        <v>834</v>
      </c>
      <c r="H163" s="12"/>
      <c r="I163" s="13">
        <v>0</v>
      </c>
      <c r="J163" s="13">
        <v>0</v>
      </c>
      <c r="K163" s="14" t="str">
        <f>HYPERLINK("https://dlvrit.com/","dlvr.it")</f>
        <v>dlvr.it</v>
      </c>
      <c r="L163" s="13">
        <v>13</v>
      </c>
      <c r="M163" s="13">
        <v>23</v>
      </c>
      <c r="N163" s="13">
        <v>0</v>
      </c>
      <c r="O163" s="15"/>
      <c r="P163" s="6">
        <v>43205.187025462961</v>
      </c>
      <c r="Q163" s="17" t="s">
        <v>835</v>
      </c>
      <c r="R163" s="18" t="s">
        <v>836</v>
      </c>
      <c r="S163" s="12"/>
      <c r="T163" s="12"/>
      <c r="U163" s="10" t="str">
        <f>HYPERLINK("https://pbs.twimg.com/profile_images/985475370051915778/SL4gE_TK.jpg","View")</f>
        <v>View</v>
      </c>
    </row>
    <row r="164" spans="1:21" ht="30.6">
      <c r="A164" s="6">
        <v>43427.616365740745</v>
      </c>
      <c r="B164" s="7" t="str">
        <f>HYPERLINK("https://twitter.com/TuiteoBarqto","@TuiteoBarqto")</f>
        <v>@TuiteoBarqto</v>
      </c>
      <c r="C164" s="8" t="s">
        <v>837</v>
      </c>
      <c r="D164" s="9" t="s">
        <v>594</v>
      </c>
      <c r="E164" s="10" t="str">
        <f>HYPERLINK("https://twitter.com/TuiteoBarqto/status/1065965080582520832","1065965080582520832")</f>
        <v>1065965080582520832</v>
      </c>
      <c r="F164" s="11" t="s">
        <v>838</v>
      </c>
      <c r="G164" s="12"/>
      <c r="H164" s="12"/>
      <c r="I164" s="13">
        <v>0</v>
      </c>
      <c r="J164" s="13">
        <v>0</v>
      </c>
      <c r="K164" s="14" t="str">
        <f t="shared" ref="K164:K167" si="26">HYPERLINK("https://ifttt.com","IFTTT")</f>
        <v>IFTTT</v>
      </c>
      <c r="L164" s="13">
        <v>2976</v>
      </c>
      <c r="M164" s="13">
        <v>702</v>
      </c>
      <c r="N164" s="13">
        <v>65</v>
      </c>
      <c r="O164" s="15"/>
      <c r="P164" s="6">
        <v>41328.074837962966</v>
      </c>
      <c r="Q164" s="17" t="s">
        <v>840</v>
      </c>
      <c r="R164" s="18" t="s">
        <v>841</v>
      </c>
      <c r="S164" s="11" t="s">
        <v>842</v>
      </c>
      <c r="T164" s="12"/>
      <c r="U164" s="10" t="str">
        <f>HYPERLINK("https://pbs.twimg.com/profile_images/3294213110/8a3e9f31f778543349b6fd5add7b009b.jpeg","View")</f>
        <v>View</v>
      </c>
    </row>
    <row r="165" spans="1:21" ht="30.6">
      <c r="A165" s="6">
        <v>43427.615891203706</v>
      </c>
      <c r="B165" s="7" t="str">
        <f>HYPERLINK("https://twitter.com/TuiteoElTocuyo","@TuiteoElTocuyo")</f>
        <v>@TuiteoElTocuyo</v>
      </c>
      <c r="C165" s="8" t="s">
        <v>843</v>
      </c>
      <c r="D165" s="9" t="s">
        <v>594</v>
      </c>
      <c r="E165" s="10" t="str">
        <f>HYPERLINK("https://twitter.com/TuiteoElTocuyo/status/1065964907131224064","1065964907131224064")</f>
        <v>1065964907131224064</v>
      </c>
      <c r="F165" s="11" t="s">
        <v>844</v>
      </c>
      <c r="G165" s="12"/>
      <c r="H165" s="12"/>
      <c r="I165" s="13">
        <v>0</v>
      </c>
      <c r="J165" s="13">
        <v>0</v>
      </c>
      <c r="K165" s="14" t="str">
        <f t="shared" si="26"/>
        <v>IFTTT</v>
      </c>
      <c r="L165" s="13">
        <v>3690</v>
      </c>
      <c r="M165" s="13">
        <v>6</v>
      </c>
      <c r="N165" s="13">
        <v>20</v>
      </c>
      <c r="O165" s="15"/>
      <c r="P165" s="6">
        <v>40780.812719907408</v>
      </c>
      <c r="Q165" s="17" t="s">
        <v>733</v>
      </c>
      <c r="R165" s="18" t="s">
        <v>845</v>
      </c>
      <c r="S165" s="11" t="s">
        <v>846</v>
      </c>
      <c r="T165" s="12"/>
      <c r="U165" s="10" t="str">
        <f>HYPERLINK("https://pbs.twimg.com/profile_images/2709041369/9e3e7ad18e7503bb4022307aa8ec4b1f.jpeg","View")</f>
        <v>View</v>
      </c>
    </row>
    <row r="166" spans="1:21" ht="30.6">
      <c r="A166" s="6">
        <v>43427.615567129629</v>
      </c>
      <c r="B166" s="7" t="str">
        <f>HYPERLINK("https://twitter.com/TuiteoBarinas","@TuiteoBarinas")</f>
        <v>@TuiteoBarinas</v>
      </c>
      <c r="C166" s="8" t="s">
        <v>847</v>
      </c>
      <c r="D166" s="9" t="s">
        <v>594</v>
      </c>
      <c r="E166" s="10" t="str">
        <f>HYPERLINK("https://twitter.com/TuiteoBarinas/status/1065964789027999744","1065964789027999744")</f>
        <v>1065964789027999744</v>
      </c>
      <c r="F166" s="11" t="s">
        <v>848</v>
      </c>
      <c r="G166" s="12"/>
      <c r="H166" s="12"/>
      <c r="I166" s="13">
        <v>0</v>
      </c>
      <c r="J166" s="13">
        <v>0</v>
      </c>
      <c r="K166" s="14" t="str">
        <f t="shared" si="26"/>
        <v>IFTTT</v>
      </c>
      <c r="L166" s="13">
        <v>1605</v>
      </c>
      <c r="M166" s="13">
        <v>218</v>
      </c>
      <c r="N166" s="13">
        <v>28</v>
      </c>
      <c r="O166" s="15"/>
      <c r="P166" s="6">
        <v>41903.102997685186</v>
      </c>
      <c r="Q166" s="17" t="s">
        <v>849</v>
      </c>
      <c r="R166" s="18" t="s">
        <v>850</v>
      </c>
      <c r="S166" s="12"/>
      <c r="T166" s="12"/>
      <c r="U166" s="10" t="str">
        <f>HYPERLINK("https://pbs.twimg.com/profile_images/513487752927531008/-bWkTjph.png","View")</f>
        <v>View</v>
      </c>
    </row>
    <row r="167" spans="1:21" ht="40.799999999999997">
      <c r="A167" s="6">
        <v>43427.614884259259</v>
      </c>
      <c r="B167" s="7" t="str">
        <f>HYPERLINK("https://twitter.com/ETAlDia","@ETAlDia")</f>
        <v>@ETAlDia</v>
      </c>
      <c r="C167" s="8" t="s">
        <v>851</v>
      </c>
      <c r="D167" s="9" t="s">
        <v>594</v>
      </c>
      <c r="E167" s="10" t="str">
        <f>HYPERLINK("https://twitter.com/ETAlDia/status/1065964541777981440","1065964541777981440")</f>
        <v>1065964541777981440</v>
      </c>
      <c r="F167" s="11" t="s">
        <v>852</v>
      </c>
      <c r="G167" s="12"/>
      <c r="H167" s="12"/>
      <c r="I167" s="13">
        <v>0</v>
      </c>
      <c r="J167" s="13">
        <v>0</v>
      </c>
      <c r="K167" s="14" t="str">
        <f t="shared" si="26"/>
        <v>IFTTT</v>
      </c>
      <c r="L167" s="13">
        <v>1555</v>
      </c>
      <c r="M167" s="13">
        <v>54</v>
      </c>
      <c r="N167" s="13">
        <v>5</v>
      </c>
      <c r="O167" s="15"/>
      <c r="P167" s="6">
        <v>41634.766064814816</v>
      </c>
      <c r="Q167" s="17" t="s">
        <v>853</v>
      </c>
      <c r="R167" s="18" t="s">
        <v>854</v>
      </c>
      <c r="S167" s="11" t="s">
        <v>855</v>
      </c>
      <c r="T167" s="12"/>
      <c r="U167" s="10" t="str">
        <f>HYPERLINK("https://pbs.twimg.com/profile_images/416260844360454144/BDPyT3E5.jpeg","View")</f>
        <v>View</v>
      </c>
    </row>
    <row r="168" spans="1:21" ht="51">
      <c r="A168" s="6">
        <v>43427.614872685182</v>
      </c>
      <c r="B168" s="7" t="str">
        <f>HYPERLINK("https://twitter.com/antoniosanz","@antoniosanz")</f>
        <v>@antoniosanz</v>
      </c>
      <c r="C168" s="8" t="s">
        <v>856</v>
      </c>
      <c r="D168" s="9" t="s">
        <v>857</v>
      </c>
      <c r="E168" s="10" t="str">
        <f>HYPERLINK("https://twitter.com/antoniosanz/status/1065964540465164288","1065964540465164288")</f>
        <v>1065964540465164288</v>
      </c>
      <c r="F168" s="12"/>
      <c r="G168" s="11" t="s">
        <v>858</v>
      </c>
      <c r="H168" s="12"/>
      <c r="I168" s="13">
        <v>6</v>
      </c>
      <c r="J168" s="13">
        <v>6</v>
      </c>
      <c r="K168" s="14" t="str">
        <f>HYPERLINK("http://twitter.com/download/iphone","Twitter for iPhone")</f>
        <v>Twitter for iPhone</v>
      </c>
      <c r="L168" s="13">
        <v>17610</v>
      </c>
      <c r="M168" s="13">
        <v>12562</v>
      </c>
      <c r="N168" s="13">
        <v>208</v>
      </c>
      <c r="O168" s="16" t="s">
        <v>26</v>
      </c>
      <c r="P168" s="6">
        <v>39862.547685185185</v>
      </c>
      <c r="Q168" s="17" t="s">
        <v>859</v>
      </c>
      <c r="R168" s="18" t="s">
        <v>860</v>
      </c>
      <c r="S168" s="11" t="s">
        <v>861</v>
      </c>
      <c r="T168" s="12"/>
      <c r="U168" s="10" t="str">
        <f>HYPERLINK("https://pbs.twimg.com/profile_images/1060206735460327425/pDHC5W7-.jpg","View")</f>
        <v>View</v>
      </c>
    </row>
    <row r="169" spans="1:21" ht="20.399999999999999">
      <c r="A169" s="6">
        <v>43427.61482638889</v>
      </c>
      <c r="B169" s="7" t="str">
        <f>HYPERLINK("https://twitter.com/yoloxokotl","@yoloxokotl")</f>
        <v>@yoloxokotl</v>
      </c>
      <c r="C169" s="8" t="s">
        <v>161</v>
      </c>
      <c r="D169" s="9" t="s">
        <v>862</v>
      </c>
      <c r="E169" s="10" t="str">
        <f>HYPERLINK("https://twitter.com/yoloxokotl/status/1065964522660335616","1065964522660335616")</f>
        <v>1065964522660335616</v>
      </c>
      <c r="F169" s="11" t="s">
        <v>863</v>
      </c>
      <c r="G169" s="12"/>
      <c r="H169" s="12"/>
      <c r="I169" s="13">
        <v>0</v>
      </c>
      <c r="J169" s="13">
        <v>0</v>
      </c>
      <c r="K169" s="14" t="str">
        <f t="shared" ref="K169:K170" si="27">HYPERLINK("http://twitter.com","Twitter Web Client")</f>
        <v>Twitter Web Client</v>
      </c>
      <c r="L169" s="13">
        <v>3230</v>
      </c>
      <c r="M169" s="13">
        <v>4901</v>
      </c>
      <c r="N169" s="13">
        <v>74</v>
      </c>
      <c r="O169" s="15"/>
      <c r="P169" s="6">
        <v>40293.197222222225</v>
      </c>
      <c r="Q169" s="12"/>
      <c r="R169" s="19"/>
      <c r="S169" s="11" t="s">
        <v>164</v>
      </c>
      <c r="T169" s="12"/>
      <c r="U169" s="10" t="str">
        <f>HYPERLINK("https://pbs.twimg.com/profile_images/1216835718/angelkitty_twitter.jpg","View")</f>
        <v>View</v>
      </c>
    </row>
    <row r="170" spans="1:21" ht="30.6">
      <c r="A170" s="6">
        <v>43427.614016203705</v>
      </c>
      <c r="B170" s="7" t="str">
        <f>HYPERLINK("https://twitter.com/universalsevil1","@universalsevil1")</f>
        <v>@universalsevil1</v>
      </c>
      <c r="C170" s="8" t="s">
        <v>175</v>
      </c>
      <c r="D170" s="9" t="s">
        <v>864</v>
      </c>
      <c r="E170" s="10" t="str">
        <f>HYPERLINK("https://twitter.com/universalsevil1/status/1065964229969289217","1065964229969289217")</f>
        <v>1065964229969289217</v>
      </c>
      <c r="F170" s="12"/>
      <c r="G170" s="11" t="s">
        <v>865</v>
      </c>
      <c r="H170" s="12"/>
      <c r="I170" s="13">
        <v>0</v>
      </c>
      <c r="J170" s="13">
        <v>0</v>
      </c>
      <c r="K170" s="14" t="str">
        <f t="shared" si="27"/>
        <v>Twitter Web Client</v>
      </c>
      <c r="L170" s="13">
        <v>425</v>
      </c>
      <c r="M170" s="13">
        <v>695</v>
      </c>
      <c r="N170" s="13">
        <v>7</v>
      </c>
      <c r="O170" s="15"/>
      <c r="P170" s="6">
        <v>42373.857349537036</v>
      </c>
      <c r="Q170" s="12"/>
      <c r="R170" s="19"/>
      <c r="S170" s="12"/>
      <c r="T170" s="12"/>
      <c r="U170" s="10" t="str">
        <f>HYPERLINK("https://pbs.twimg.com/profile_images/990336265085177857/jUe7wYwz.jpg","View")</f>
        <v>View</v>
      </c>
    </row>
    <row r="171" spans="1:21" ht="30.6">
      <c r="A171" s="6">
        <v>43427.613935185189</v>
      </c>
      <c r="B171" s="7" t="str">
        <f>HYPERLINK("https://twitter.com/TuiteoCarora","@TuiteoCarora")</f>
        <v>@TuiteoCarora</v>
      </c>
      <c r="C171" s="8" t="s">
        <v>866</v>
      </c>
      <c r="D171" s="9" t="s">
        <v>594</v>
      </c>
      <c r="E171" s="10" t="str">
        <f>HYPERLINK("https://twitter.com/TuiteoCarora/status/1065964198126149632","1065964198126149632")</f>
        <v>1065964198126149632</v>
      </c>
      <c r="F171" s="11" t="s">
        <v>867</v>
      </c>
      <c r="G171" s="12"/>
      <c r="H171" s="12"/>
      <c r="I171" s="13">
        <v>0</v>
      </c>
      <c r="J171" s="13">
        <v>0</v>
      </c>
      <c r="K171" s="14" t="str">
        <f>HYPERLINK("https://ifttt.com","IFTTT")</f>
        <v>IFTTT</v>
      </c>
      <c r="L171" s="13">
        <v>4969</v>
      </c>
      <c r="M171" s="13">
        <v>1279</v>
      </c>
      <c r="N171" s="13">
        <v>45</v>
      </c>
      <c r="O171" s="15"/>
      <c r="P171" s="6">
        <v>41270.679282407407</v>
      </c>
      <c r="Q171" s="17" t="s">
        <v>868</v>
      </c>
      <c r="R171" s="18" t="s">
        <v>869</v>
      </c>
      <c r="S171" s="12"/>
      <c r="T171" s="12"/>
      <c r="U171" s="10" t="str">
        <f>HYPERLINK("https://pbs.twimg.com/profile_images/3028674120/855c9c14235bfad64fc5d72e205de1a6.jpeg","View")</f>
        <v>View</v>
      </c>
    </row>
    <row r="172" spans="1:21" ht="51">
      <c r="A172" s="6">
        <v>43427.613912037035</v>
      </c>
      <c r="B172" s="7" t="str">
        <f>HYPERLINK("https://twitter.com/ainhoa_mhoyos","@ainhoa_mhoyos")</f>
        <v>@ainhoa_mhoyos</v>
      </c>
      <c r="C172" s="8" t="s">
        <v>871</v>
      </c>
      <c r="D172" s="9" t="s">
        <v>872</v>
      </c>
      <c r="E172" s="10" t="str">
        <f>HYPERLINK("https://twitter.com/ainhoa_mhoyos/status/1065964191398461441","1065964191398461441")</f>
        <v>1065964191398461441</v>
      </c>
      <c r="F172" s="12"/>
      <c r="G172" s="11" t="s">
        <v>873</v>
      </c>
      <c r="H172" s="12"/>
      <c r="I172" s="13">
        <v>4</v>
      </c>
      <c r="J172" s="13">
        <v>1</v>
      </c>
      <c r="K172" s="14" t="str">
        <f>HYPERLINK("http://twitter.com/download/iphone","Twitter for iPhone")</f>
        <v>Twitter for iPhone</v>
      </c>
      <c r="L172" s="13">
        <v>689</v>
      </c>
      <c r="M172" s="13">
        <v>777</v>
      </c>
      <c r="N172" s="13">
        <v>17</v>
      </c>
      <c r="O172" s="15"/>
      <c r="P172" s="6">
        <v>40689.856469907405</v>
      </c>
      <c r="Q172" s="12"/>
      <c r="R172" s="18" t="s">
        <v>874</v>
      </c>
      <c r="S172" s="11" t="s">
        <v>875</v>
      </c>
      <c r="T172" s="12"/>
      <c r="U172" s="10" t="str">
        <f>HYPERLINK("https://pbs.twimg.com/profile_images/788468170524950528/aetGUEYr.jpg","View")</f>
        <v>View</v>
      </c>
    </row>
    <row r="173" spans="1:21" ht="13.2">
      <c r="A173" s="6">
        <v>43427.613692129627</v>
      </c>
      <c r="B173" s="7" t="str">
        <f>HYPERLINK("https://twitter.com/cjsaguilar","@cjsaguilar")</f>
        <v>@cjsaguilar</v>
      </c>
      <c r="C173" s="8" t="s">
        <v>877</v>
      </c>
      <c r="D173" s="9" t="s">
        <v>204</v>
      </c>
      <c r="E173" s="10" t="str">
        <f>HYPERLINK("https://twitter.com/cjsaguilar/status/1065964111870287873","1065964111870287873")</f>
        <v>1065964111870287873</v>
      </c>
      <c r="F173" s="11" t="s">
        <v>207</v>
      </c>
      <c r="G173" s="12"/>
      <c r="H173" s="12"/>
      <c r="I173" s="13">
        <v>0</v>
      </c>
      <c r="J173" s="13">
        <v>0</v>
      </c>
      <c r="K173" s="14" t="str">
        <f>HYPERLINK("http://twitter.com/download/android","Twitter for Android")</f>
        <v>Twitter for Android</v>
      </c>
      <c r="L173" s="13">
        <v>879</v>
      </c>
      <c r="M173" s="13">
        <v>2411</v>
      </c>
      <c r="N173" s="13">
        <v>9</v>
      </c>
      <c r="O173" s="15"/>
      <c r="P173" s="6">
        <v>40363.017870370371</v>
      </c>
      <c r="Q173" s="17" t="s">
        <v>878</v>
      </c>
      <c r="R173" s="18" t="s">
        <v>879</v>
      </c>
      <c r="S173" s="11" t="s">
        <v>880</v>
      </c>
      <c r="T173" s="12"/>
      <c r="U173" s="10" t="str">
        <f>HYPERLINK("https://pbs.twimg.com/profile_images/930486975769055232/6sXn9s2s.jpg","View")</f>
        <v>View</v>
      </c>
    </row>
    <row r="174" spans="1:21" ht="13.2">
      <c r="A174" s="6">
        <v>43427.613622685181</v>
      </c>
      <c r="B174" s="7" t="str">
        <f>HYPERLINK("https://twitter.com/WebElTocuyo","@WebElTocuyo")</f>
        <v>@WebElTocuyo</v>
      </c>
      <c r="C174" s="8" t="s">
        <v>881</v>
      </c>
      <c r="D174" s="9" t="s">
        <v>594</v>
      </c>
      <c r="E174" s="10" t="str">
        <f>HYPERLINK("https://twitter.com/WebElTocuyo/status/1065964087102894081","1065964087102894081")</f>
        <v>1065964087102894081</v>
      </c>
      <c r="F174" s="11" t="s">
        <v>882</v>
      </c>
      <c r="G174" s="12"/>
      <c r="H174" s="12"/>
      <c r="I174" s="13">
        <v>0</v>
      </c>
      <c r="J174" s="13">
        <v>0</v>
      </c>
      <c r="K174" s="14" t="str">
        <f>HYPERLINK("https://ifttt.com","IFTTT")</f>
        <v>IFTTT</v>
      </c>
      <c r="L174" s="13">
        <v>3403</v>
      </c>
      <c r="M174" s="13">
        <v>1723</v>
      </c>
      <c r="N174" s="13">
        <v>21</v>
      </c>
      <c r="O174" s="15"/>
      <c r="P174" s="6">
        <v>40312.081180555557</v>
      </c>
      <c r="Q174" s="17" t="s">
        <v>883</v>
      </c>
      <c r="R174" s="19"/>
      <c r="S174" s="12"/>
      <c r="T174" s="12"/>
      <c r="U174" s="10" t="str">
        <f>HYPERLINK("https://pbs.twimg.com/profile_images/779172602505994240/SzBtwp2Z.jpg","View")</f>
        <v>View</v>
      </c>
    </row>
    <row r="175" spans="1:21" ht="40.799999999999997">
      <c r="A175" s="6">
        <v>43427.613506944443</v>
      </c>
      <c r="B175" s="7" t="str">
        <f>HYPERLINK("https://twitter.com/gui09ermo","@gui09ermo")</f>
        <v>@gui09ermo</v>
      </c>
      <c r="C175" s="8" t="s">
        <v>884</v>
      </c>
      <c r="D175" s="9" t="s">
        <v>885</v>
      </c>
      <c r="E175" s="10" t="str">
        <f>HYPERLINK("https://twitter.com/gui09ermo/status/1065964046388740096","1065964046388740096")</f>
        <v>1065964046388740096</v>
      </c>
      <c r="F175" s="11" t="s">
        <v>886</v>
      </c>
      <c r="G175" s="12"/>
      <c r="H175" s="12"/>
      <c r="I175" s="13">
        <v>1</v>
      </c>
      <c r="J175" s="13">
        <v>0</v>
      </c>
      <c r="K175" s="14" t="str">
        <f>HYPERLINK("http://twitter.com","Twitter Web Client")</f>
        <v>Twitter Web Client</v>
      </c>
      <c r="L175" s="13">
        <v>929</v>
      </c>
      <c r="M175" s="13">
        <v>1786</v>
      </c>
      <c r="N175" s="13">
        <v>43</v>
      </c>
      <c r="O175" s="15"/>
      <c r="P175" s="6">
        <v>40571.925266203703</v>
      </c>
      <c r="Q175" s="17" t="s">
        <v>888</v>
      </c>
      <c r="R175" s="18" t="s">
        <v>889</v>
      </c>
      <c r="S175" s="12"/>
      <c r="T175" s="12"/>
      <c r="U175" s="10" t="str">
        <f>HYPERLINK("https://pbs.twimg.com/profile_images/378800000195442609/b42bd84ac5230b8600307b0d8695bd41.jpeg","View")</f>
        <v>View</v>
      </c>
    </row>
    <row r="176" spans="1:21" ht="30.6">
      <c r="A176" s="6">
        <v>43427.613495370373</v>
      </c>
      <c r="B176" s="7" t="str">
        <f>HYPERLINK("https://twitter.com/NoticiaElTocuyo","@NoticiaElTocuyo")</f>
        <v>@NoticiaElTocuyo</v>
      </c>
      <c r="C176" s="8" t="s">
        <v>890</v>
      </c>
      <c r="D176" s="9" t="s">
        <v>594</v>
      </c>
      <c r="E176" s="10" t="str">
        <f>HYPERLINK("https://twitter.com/NoticiaElTocuyo/status/1065964039614943232","1065964039614943232")</f>
        <v>1065964039614943232</v>
      </c>
      <c r="F176" s="11" t="s">
        <v>891</v>
      </c>
      <c r="G176" s="12"/>
      <c r="H176" s="12"/>
      <c r="I176" s="13">
        <v>0</v>
      </c>
      <c r="J176" s="13">
        <v>0</v>
      </c>
      <c r="K176" s="14" t="str">
        <f>HYPERLINK("https://ifttt.com","IFTTT")</f>
        <v>IFTTT</v>
      </c>
      <c r="L176" s="13">
        <v>2787</v>
      </c>
      <c r="M176" s="13">
        <v>282</v>
      </c>
      <c r="N176" s="13">
        <v>9</v>
      </c>
      <c r="O176" s="15"/>
      <c r="P176" s="6">
        <v>40463.369479166664</v>
      </c>
      <c r="Q176" s="17" t="s">
        <v>104</v>
      </c>
      <c r="R176" s="18" t="s">
        <v>892</v>
      </c>
      <c r="S176" s="12"/>
      <c r="T176" s="12"/>
      <c r="U176" s="10" t="str">
        <f>HYPERLINK("https://pbs.twimg.com/profile_images/378800000860693453/v8Dzs0Yh.jpeg","View")</f>
        <v>View</v>
      </c>
    </row>
    <row r="177" spans="1:21" ht="30.6">
      <c r="A177" s="6">
        <v>43427.612789351857</v>
      </c>
      <c r="B177" s="7" t="str">
        <f>HYPERLINK("https://twitter.com/ppdecanarias","@ppdecanarias")</f>
        <v>@ppdecanarias</v>
      </c>
      <c r="C177" s="8" t="s">
        <v>893</v>
      </c>
      <c r="D177" s="9" t="s">
        <v>894</v>
      </c>
      <c r="E177" s="10" t="str">
        <f>HYPERLINK("https://twitter.com/ppdecanarias/status/1065963786111250432","1065963786111250432")</f>
        <v>1065963786111250432</v>
      </c>
      <c r="F177" s="11" t="s">
        <v>895</v>
      </c>
      <c r="G177" s="11" t="s">
        <v>896</v>
      </c>
      <c r="H177" s="12"/>
      <c r="I177" s="13">
        <v>5</v>
      </c>
      <c r="J177" s="13">
        <v>6</v>
      </c>
      <c r="K177" s="14" t="str">
        <f>HYPERLINK("http://twitter.com","Twitter Web Client")</f>
        <v>Twitter Web Client</v>
      </c>
      <c r="L177" s="13">
        <v>5117</v>
      </c>
      <c r="M177" s="13">
        <v>674</v>
      </c>
      <c r="N177" s="13">
        <v>118</v>
      </c>
      <c r="O177" s="16" t="s">
        <v>26</v>
      </c>
      <c r="P177" s="6">
        <v>40592.03460648148</v>
      </c>
      <c r="Q177" s="17" t="s">
        <v>552</v>
      </c>
      <c r="R177" s="18" t="s">
        <v>897</v>
      </c>
      <c r="S177" s="11" t="s">
        <v>898</v>
      </c>
      <c r="T177" s="12"/>
      <c r="U177" s="10" t="str">
        <f>HYPERLINK("https://pbs.twimg.com/profile_images/1053414775772905474/HJInCymW.jpg","View")</f>
        <v>View</v>
      </c>
    </row>
    <row r="178" spans="1:21" ht="40.799999999999997">
      <c r="A178" s="6">
        <v>43427.612789351857</v>
      </c>
      <c r="B178" s="7" t="str">
        <f>HYPERLINK("https://twitter.com/ManuSanchezG","@ManuSanchezG")</f>
        <v>@ManuSanchezG</v>
      </c>
      <c r="C178" s="8" t="s">
        <v>899</v>
      </c>
      <c r="D178" s="9" t="s">
        <v>900</v>
      </c>
      <c r="E178" s="10" t="str">
        <f>HYPERLINK("https://twitter.com/ManuSanchezG/status/1065963784370614272","1065963784370614272")</f>
        <v>1065963784370614272</v>
      </c>
      <c r="F178" s="12"/>
      <c r="G178" s="12"/>
      <c r="H178" s="12"/>
      <c r="I178" s="13">
        <v>0</v>
      </c>
      <c r="J178" s="13">
        <v>0</v>
      </c>
      <c r="K178" s="14" t="str">
        <f>HYPERLINK("http://twitter.com/download/iphone","Twitter for iPhone")</f>
        <v>Twitter for iPhone</v>
      </c>
      <c r="L178" s="13">
        <v>6051</v>
      </c>
      <c r="M178" s="13">
        <v>1381</v>
      </c>
      <c r="N178" s="13">
        <v>175</v>
      </c>
      <c r="O178" s="15"/>
      <c r="P178" s="6">
        <v>40905.003888888888</v>
      </c>
      <c r="Q178" s="12"/>
      <c r="R178" s="18" t="s">
        <v>901</v>
      </c>
      <c r="S178" s="12"/>
      <c r="T178" s="12"/>
      <c r="U178" s="10" t="str">
        <f>HYPERLINK("https://pbs.twimg.com/profile_images/978221461742682113/C133RKc1.jpg","View")</f>
        <v>View</v>
      </c>
    </row>
    <row r="179" spans="1:21" ht="40.799999999999997">
      <c r="A179" s="6">
        <v>43427.612384259264</v>
      </c>
      <c r="B179" s="7" t="str">
        <f>HYPERLINK("https://twitter.com/El_Cid_volador","@El_Cid_volador")</f>
        <v>@El_Cid_volador</v>
      </c>
      <c r="C179" s="8" t="s">
        <v>110</v>
      </c>
      <c r="D179" s="9" t="s">
        <v>111</v>
      </c>
      <c r="E179" s="10" t="str">
        <f>HYPERLINK("https://twitter.com/El_Cid_volador/status/1065963638933073921","1065963638933073921")</f>
        <v>1065963638933073921</v>
      </c>
      <c r="F179" s="12"/>
      <c r="G179" s="12"/>
      <c r="H179" s="12"/>
      <c r="I179" s="13">
        <v>0</v>
      </c>
      <c r="J179" s="13">
        <v>0</v>
      </c>
      <c r="K179" s="14" t="str">
        <f>HYPERLINK("http://twitter.com","Twitter Web Client")</f>
        <v>Twitter Web Client</v>
      </c>
      <c r="L179" s="13">
        <v>134</v>
      </c>
      <c r="M179" s="13">
        <v>91</v>
      </c>
      <c r="N179" s="13">
        <v>3</v>
      </c>
      <c r="O179" s="15"/>
      <c r="P179" s="6">
        <v>42951.408807870372</v>
      </c>
      <c r="Q179" s="17" t="s">
        <v>114</v>
      </c>
      <c r="R179" s="18" t="s">
        <v>115</v>
      </c>
      <c r="S179" s="12"/>
      <c r="T179" s="12"/>
      <c r="U179" s="10" t="str">
        <f>HYPERLINK("https://pbs.twimg.com/profile_images/1012663203136987136/4vl6lREH.jpg","View")</f>
        <v>View</v>
      </c>
    </row>
    <row r="180" spans="1:21" ht="40.799999999999997">
      <c r="A180" s="6">
        <v>43427.611354166671</v>
      </c>
      <c r="B180" s="7" t="str">
        <f>HYPERLINK("https://twitter.com/Ismaelescuincs","@Ismaelescuincs")</f>
        <v>@Ismaelescuincs</v>
      </c>
      <c r="C180" s="8" t="s">
        <v>902</v>
      </c>
      <c r="D180" s="9" t="s">
        <v>903</v>
      </c>
      <c r="E180" s="10" t="str">
        <f>HYPERLINK("https://twitter.com/Ismaelescuincs/status/1065963265992339456","1065963265992339456")</f>
        <v>1065963265992339456</v>
      </c>
      <c r="F180" s="11" t="s">
        <v>904</v>
      </c>
      <c r="G180" s="12"/>
      <c r="H180" s="12"/>
      <c r="I180" s="13">
        <v>4</v>
      </c>
      <c r="J180" s="13">
        <v>4</v>
      </c>
      <c r="K180" s="14" t="str">
        <f>HYPERLINK("http://twitter.com/download/iphone","Twitter for iPhone")</f>
        <v>Twitter for iPhone</v>
      </c>
      <c r="L180" s="13">
        <v>1095</v>
      </c>
      <c r="M180" s="13">
        <v>1152</v>
      </c>
      <c r="N180" s="13">
        <v>1</v>
      </c>
      <c r="O180" s="15"/>
      <c r="P180" s="6">
        <v>43085.040821759263</v>
      </c>
      <c r="Q180" s="17" t="s">
        <v>905</v>
      </c>
      <c r="R180" s="18" t="s">
        <v>906</v>
      </c>
      <c r="S180" s="11" t="s">
        <v>907</v>
      </c>
      <c r="T180" s="12"/>
      <c r="U180" s="10" t="str">
        <f>HYPERLINK("https://pbs.twimg.com/profile_images/1041730517530492928/JLvy_OFv.jpg","View")</f>
        <v>View</v>
      </c>
    </row>
    <row r="181" spans="1:21" ht="40.799999999999997">
      <c r="A181" s="6">
        <v>43427.611261574071</v>
      </c>
      <c r="B181" s="7" t="str">
        <f>HYPERLINK("https://twitter.com/miquelsubiaseva","@miquelsubiaseva")</f>
        <v>@miquelsubiaseva</v>
      </c>
      <c r="C181" s="8" t="s">
        <v>908</v>
      </c>
      <c r="D181" s="9" t="s">
        <v>909</v>
      </c>
      <c r="E181" s="10" t="str">
        <f>HYPERLINK("https://twitter.com/miquelsubiaseva/status/1065963228822409218","1065963228822409218")</f>
        <v>1065963228822409218</v>
      </c>
      <c r="F181" s="12"/>
      <c r="G181" s="12"/>
      <c r="H181" s="12"/>
      <c r="I181" s="13">
        <v>1</v>
      </c>
      <c r="J181" s="13">
        <v>1</v>
      </c>
      <c r="K181" s="14" t="str">
        <f>HYPERLINK("http://twitter.com/#!/download/ipad","Twitter for iPad")</f>
        <v>Twitter for iPad</v>
      </c>
      <c r="L181" s="13">
        <v>2183</v>
      </c>
      <c r="M181" s="13">
        <v>1338</v>
      </c>
      <c r="N181" s="13">
        <v>68</v>
      </c>
      <c r="O181" s="15"/>
      <c r="P181" s="6">
        <v>40575.849340277782</v>
      </c>
      <c r="Q181" s="17" t="s">
        <v>910</v>
      </c>
      <c r="R181" s="18" t="s">
        <v>911</v>
      </c>
      <c r="S181" s="11" t="s">
        <v>912</v>
      </c>
      <c r="T181" s="12"/>
      <c r="U181" s="10" t="str">
        <f>HYPERLINK("https://pbs.twimg.com/profile_images/718950789721550849/lZZp2_nc.jpg","View")</f>
        <v>View</v>
      </c>
    </row>
    <row r="182" spans="1:21" ht="13.2">
      <c r="A182" s="6">
        <v>43427.611134259263</v>
      </c>
      <c r="B182" s="7" t="str">
        <f>HYPERLINK("https://twitter.com/EstidoForEver","@EstidoForEver")</f>
        <v>@EstidoForEver</v>
      </c>
      <c r="C182" s="8" t="s">
        <v>913</v>
      </c>
      <c r="D182" s="9" t="s">
        <v>832</v>
      </c>
      <c r="E182" s="10" t="str">
        <f>HYPERLINK("https://twitter.com/EstidoForEver/status/1065963186094956544","1065963186094956544")</f>
        <v>1065963186094956544</v>
      </c>
      <c r="F182" s="11" t="s">
        <v>914</v>
      </c>
      <c r="G182" s="11" t="s">
        <v>915</v>
      </c>
      <c r="H182" s="12"/>
      <c r="I182" s="13">
        <v>0</v>
      </c>
      <c r="J182" s="13">
        <v>0</v>
      </c>
      <c r="K182" s="14" t="str">
        <f>HYPERLINK("https://dlvrit.com/","dlvr.it")</f>
        <v>dlvr.it</v>
      </c>
      <c r="L182" s="13">
        <v>115</v>
      </c>
      <c r="M182" s="13">
        <v>180</v>
      </c>
      <c r="N182" s="13">
        <v>1</v>
      </c>
      <c r="O182" s="15"/>
      <c r="P182" s="6">
        <v>42438.67696759259</v>
      </c>
      <c r="Q182" s="12"/>
      <c r="R182" s="18" t="s">
        <v>916</v>
      </c>
      <c r="S182" s="12"/>
      <c r="T182" s="12"/>
      <c r="U182" s="10" t="str">
        <f>HYPERLINK("https://pbs.twimg.com/profile_images/707586618656432129/LSCbulr5.jpg","View")</f>
        <v>View</v>
      </c>
    </row>
    <row r="183" spans="1:21" ht="13.2">
      <c r="A183" s="6">
        <v>43427.610949074078</v>
      </c>
      <c r="B183" s="7" t="str">
        <f>HYPERLINK("https://twitter.com/TBalears","@TBalears")</f>
        <v>@TBalears</v>
      </c>
      <c r="C183" s="20" t="s">
        <v>917</v>
      </c>
      <c r="D183" s="9" t="s">
        <v>918</v>
      </c>
      <c r="E183" s="10" t="str">
        <f>HYPERLINK("https://twitter.com/TBalears/status/1065963116482183168","1065963116482183168")</f>
        <v>1065963116482183168</v>
      </c>
      <c r="F183" s="11" t="s">
        <v>919</v>
      </c>
      <c r="G183" s="11" t="s">
        <v>920</v>
      </c>
      <c r="H183" s="12"/>
      <c r="I183" s="13">
        <v>0</v>
      </c>
      <c r="J183" s="13">
        <v>0</v>
      </c>
      <c r="K183" s="14" t="str">
        <f>HYPERLINK("https://totbalears.com","Tot Balears")</f>
        <v>Tot Balears</v>
      </c>
      <c r="L183" s="13">
        <v>786</v>
      </c>
      <c r="M183" s="13">
        <v>1272</v>
      </c>
      <c r="N183" s="13">
        <v>4</v>
      </c>
      <c r="O183" s="15"/>
      <c r="P183" s="6">
        <v>42849.594525462962</v>
      </c>
      <c r="Q183" s="17" t="s">
        <v>921</v>
      </c>
      <c r="R183" s="18" t="s">
        <v>922</v>
      </c>
      <c r="S183" s="11" t="s">
        <v>923</v>
      </c>
      <c r="T183" s="12"/>
      <c r="U183" s="10" t="str">
        <f>HYPERLINK("https://pbs.twimg.com/profile_images/1056501575538143232/Q1xLgSnI.jpg","View")</f>
        <v>View</v>
      </c>
    </row>
    <row r="184" spans="1:21" ht="40.799999999999997">
      <c r="A184" s="6">
        <v>43427.610601851848</v>
      </c>
      <c r="B184" s="7" t="str">
        <f>HYPERLINK("https://twitter.com/KODiario666","@KODiario666")</f>
        <v>@KODiario666</v>
      </c>
      <c r="C184" s="8" t="s">
        <v>924</v>
      </c>
      <c r="D184" s="9" t="s">
        <v>925</v>
      </c>
      <c r="E184" s="10" t="str">
        <f>HYPERLINK("https://twitter.com/KODiario666/status/1065962992104366081","1065962992104366081")</f>
        <v>1065962992104366081</v>
      </c>
      <c r="F184" s="12"/>
      <c r="G184" s="11" t="s">
        <v>926</v>
      </c>
      <c r="H184" s="12"/>
      <c r="I184" s="13">
        <v>4</v>
      </c>
      <c r="J184" s="13">
        <v>5</v>
      </c>
      <c r="K184" s="14" t="str">
        <f>HYPERLINK("http://twitter.com/download/iphone","Twitter for iPhone")</f>
        <v>Twitter for iPhone</v>
      </c>
      <c r="L184" s="13">
        <v>750</v>
      </c>
      <c r="M184" s="13">
        <v>226</v>
      </c>
      <c r="N184" s="13">
        <v>8</v>
      </c>
      <c r="O184" s="15"/>
      <c r="P184" s="6">
        <v>42944.40697916667</v>
      </c>
      <c r="Q184" s="17" t="s">
        <v>927</v>
      </c>
      <c r="R184" s="18" t="s">
        <v>928</v>
      </c>
      <c r="S184" s="11" t="s">
        <v>929</v>
      </c>
      <c r="T184" s="12"/>
      <c r="U184" s="10" t="str">
        <f>HYPERLINK("https://pbs.twimg.com/profile_images/1019138233127653376/68gnC4na.jpg","View")</f>
        <v>View</v>
      </c>
    </row>
    <row r="185" spans="1:21" ht="30.6">
      <c r="A185" s="6">
        <v>43427.610034722224</v>
      </c>
      <c r="B185" s="7" t="str">
        <f>HYPERLINK("https://twitter.com/bergabil94","@bergabil94")</f>
        <v>@bergabil94</v>
      </c>
      <c r="C185" s="8" t="s">
        <v>930</v>
      </c>
      <c r="D185" s="9" t="s">
        <v>250</v>
      </c>
      <c r="E185" s="10" t="str">
        <f>HYPERLINK("https://twitter.com/bergabil94/status/1065962785732026369","1065962785732026369")</f>
        <v>1065962785732026369</v>
      </c>
      <c r="F185" s="11" t="s">
        <v>251</v>
      </c>
      <c r="G185" s="12"/>
      <c r="H185" s="12"/>
      <c r="I185" s="13">
        <v>0</v>
      </c>
      <c r="J185" s="13">
        <v>0</v>
      </c>
      <c r="K185" s="14" t="str">
        <f>HYPERLINK("https://ifttt.com","IFTTT")</f>
        <v>IFTTT</v>
      </c>
      <c r="L185" s="13">
        <v>64</v>
      </c>
      <c r="M185" s="13">
        <v>51</v>
      </c>
      <c r="N185" s="13">
        <v>3</v>
      </c>
      <c r="O185" s="15"/>
      <c r="P185" s="6">
        <v>42758.422662037032</v>
      </c>
      <c r="Q185" s="17" t="s">
        <v>141</v>
      </c>
      <c r="R185" s="18" t="s">
        <v>931</v>
      </c>
      <c r="S185" s="12"/>
      <c r="T185" s="12"/>
      <c r="U185" s="10" t="str">
        <f>HYPERLINK("https://pbs.twimg.com/profile_images/823457736675459073/c35uioBB.jpg","View")</f>
        <v>View</v>
      </c>
    </row>
    <row r="186" spans="1:21" ht="30.6">
      <c r="A186" s="6">
        <v>43427.609791666662</v>
      </c>
      <c r="B186" s="7" t="str">
        <f>HYPERLINK("https://twitter.com/danicorderom","@danicorderom")</f>
        <v>@danicorderom</v>
      </c>
      <c r="C186" s="8" t="s">
        <v>932</v>
      </c>
      <c r="D186" s="9" t="s">
        <v>933</v>
      </c>
      <c r="E186" s="10" t="str">
        <f>HYPERLINK("https://twitter.com/danicorderom/status/1065962696477196289","1065962696477196289")</f>
        <v>1065962696477196289</v>
      </c>
      <c r="F186" s="12"/>
      <c r="G186" s="11" t="s">
        <v>934</v>
      </c>
      <c r="H186" s="12"/>
      <c r="I186" s="13">
        <v>0</v>
      </c>
      <c r="J186" s="13">
        <v>0</v>
      </c>
      <c r="K186" s="14" t="str">
        <f>HYPERLINK("http://twitter.com/download/iphone","Twitter for iPhone")</f>
        <v>Twitter for iPhone</v>
      </c>
      <c r="L186" s="13">
        <v>5675</v>
      </c>
      <c r="M186" s="13">
        <v>4486</v>
      </c>
      <c r="N186" s="13">
        <v>71</v>
      </c>
      <c r="O186" s="15"/>
      <c r="P186" s="6">
        <v>40615.912962962961</v>
      </c>
      <c r="Q186" s="17" t="s">
        <v>935</v>
      </c>
      <c r="R186" s="18" t="s">
        <v>936</v>
      </c>
      <c r="S186" s="11" t="s">
        <v>937</v>
      </c>
      <c r="T186" s="12"/>
      <c r="U186" s="10" t="str">
        <f>HYPERLINK("https://pbs.twimg.com/profile_images/1053967447550803968/7dE_vKmN.jpg","View")</f>
        <v>View</v>
      </c>
    </row>
    <row r="187" spans="1:21" ht="30.6">
      <c r="A187" s="6">
        <v>43427.609699074077</v>
      </c>
      <c r="B187" s="7" t="str">
        <f>HYPERLINK("https://twitter.com/AliciaAlizee","@AliciaAlizee")</f>
        <v>@AliciaAlizee</v>
      </c>
      <c r="C187" s="8" t="s">
        <v>938</v>
      </c>
      <c r="D187" s="9" t="s">
        <v>939</v>
      </c>
      <c r="E187" s="10" t="str">
        <f>HYPERLINK("https://twitter.com/AliciaAlizee/status/1065962663686090753","1065962663686090753")</f>
        <v>1065962663686090753</v>
      </c>
      <c r="F187" s="12"/>
      <c r="G187" s="12"/>
      <c r="H187" s="12"/>
      <c r="I187" s="13">
        <v>0</v>
      </c>
      <c r="J187" s="13">
        <v>1</v>
      </c>
      <c r="K187" s="14" t="str">
        <f>HYPERLINK("http://twitter.com/download/android","Twitter for Android")</f>
        <v>Twitter for Android</v>
      </c>
      <c r="L187" s="13">
        <v>59</v>
      </c>
      <c r="M187" s="13">
        <v>100</v>
      </c>
      <c r="N187" s="13">
        <v>1</v>
      </c>
      <c r="O187" s="15"/>
      <c r="P187" s="6">
        <v>41108.642453703702</v>
      </c>
      <c r="Q187" s="17" t="s">
        <v>940</v>
      </c>
      <c r="R187" s="19"/>
      <c r="S187" s="12"/>
      <c r="T187" s="12"/>
      <c r="U187" s="10" t="str">
        <f>HYPERLINK("https://pbs.twimg.com/profile_images/552942738371776513/l5Hr1211.jpeg","View")</f>
        <v>View</v>
      </c>
    </row>
    <row r="188" spans="1:21" ht="20.399999999999999">
      <c r="A188" s="6">
        <v>43427.609293981484</v>
      </c>
      <c r="B188" s="7" t="str">
        <f>HYPERLINK("https://twitter.com/PaulaAguiar2090","@PaulaAguiar2090")</f>
        <v>@PaulaAguiar2090</v>
      </c>
      <c r="C188" s="8" t="s">
        <v>941</v>
      </c>
      <c r="D188" s="9" t="s">
        <v>463</v>
      </c>
      <c r="E188" s="10" t="str">
        <f>HYPERLINK("https://twitter.com/PaulaAguiar2090/status/1065962518529679361","1065962518529679361")</f>
        <v>1065962518529679361</v>
      </c>
      <c r="F188" s="11" t="s">
        <v>942</v>
      </c>
      <c r="G188" s="11" t="s">
        <v>943</v>
      </c>
      <c r="H188" s="12"/>
      <c r="I188" s="13">
        <v>0</v>
      </c>
      <c r="J188" s="13">
        <v>0</v>
      </c>
      <c r="K188" s="14" t="str">
        <f>HYPERLINK("https://www.hootsuite.com","Hootsuite Inc.")</f>
        <v>Hootsuite Inc.</v>
      </c>
      <c r="L188" s="13">
        <v>102</v>
      </c>
      <c r="M188" s="13">
        <v>177</v>
      </c>
      <c r="N188" s="13">
        <v>1</v>
      </c>
      <c r="O188" s="15"/>
      <c r="P188" s="6">
        <v>43157.84774305555</v>
      </c>
      <c r="Q188" s="17" t="s">
        <v>944</v>
      </c>
      <c r="R188" s="18" t="s">
        <v>945</v>
      </c>
      <c r="S188" s="12"/>
      <c r="T188" s="12"/>
      <c r="U188" s="10" t="str">
        <f>HYPERLINK("https://pbs.twimg.com/profile_images/1014917618338271232/HzBI_Bw7.jpg","View")</f>
        <v>View</v>
      </c>
    </row>
    <row r="189" spans="1:21" ht="40.799999999999997">
      <c r="A189" s="6">
        <v>43427.609189814815</v>
      </c>
      <c r="B189" s="7" t="str">
        <f>HYPERLINK("https://twitter.com/mdpbs7","@mdpbs7")</f>
        <v>@mdpbs7</v>
      </c>
      <c r="C189" s="8" t="s">
        <v>946</v>
      </c>
      <c r="D189" s="9" t="s">
        <v>947</v>
      </c>
      <c r="E189" s="10" t="str">
        <f>HYPERLINK("https://twitter.com/mdpbs7/status/1065962481787551744","1065962481787551744")</f>
        <v>1065962481787551744</v>
      </c>
      <c r="F189" s="11" t="s">
        <v>948</v>
      </c>
      <c r="G189" s="12"/>
      <c r="H189" s="12"/>
      <c r="I189" s="13">
        <v>0</v>
      </c>
      <c r="J189" s="13">
        <v>0</v>
      </c>
      <c r="K189" s="14" t="str">
        <f>HYPERLINK("http://twitter.com","Twitter Web Client")</f>
        <v>Twitter Web Client</v>
      </c>
      <c r="L189" s="13">
        <v>237</v>
      </c>
      <c r="M189" s="13">
        <v>436</v>
      </c>
      <c r="N189" s="13">
        <v>5</v>
      </c>
      <c r="O189" s="15"/>
      <c r="P189" s="6">
        <v>41312.375034722223</v>
      </c>
      <c r="Q189" s="12"/>
      <c r="R189" s="18" t="s">
        <v>949</v>
      </c>
      <c r="S189" s="12"/>
      <c r="T189" s="12"/>
      <c r="U189" s="10" t="str">
        <f>HYPERLINK("https://pbs.twimg.com/profile_images/1014101131302195200/ZbSWIJVG.jpg","View")</f>
        <v>View</v>
      </c>
    </row>
    <row r="190" spans="1:21" ht="30.6">
      <c r="A190" s="6">
        <v>43427.608668981484</v>
      </c>
      <c r="B190" s="7" t="str">
        <f>HYPERLINK("https://twitter.com/etoledog","@etoledog")</f>
        <v>@etoledog</v>
      </c>
      <c r="C190" s="8" t="s">
        <v>950</v>
      </c>
      <c r="D190" s="9" t="s">
        <v>951</v>
      </c>
      <c r="E190" s="10" t="str">
        <f>HYPERLINK("https://twitter.com/etoledog/status/1065962290762182657","1065962290762182657")</f>
        <v>1065962290762182657</v>
      </c>
      <c r="F190" s="11" t="s">
        <v>398</v>
      </c>
      <c r="G190" s="12"/>
      <c r="H190" s="12"/>
      <c r="I190" s="13">
        <v>0</v>
      </c>
      <c r="J190" s="13">
        <v>0</v>
      </c>
      <c r="K190" s="14" t="str">
        <f t="shared" ref="K190:K191" si="28">HYPERLINK("http://twitter.com/#!/download/ipad","Twitter for iPad")</f>
        <v>Twitter for iPad</v>
      </c>
      <c r="L190" s="13">
        <v>21112</v>
      </c>
      <c r="M190" s="13">
        <v>21089</v>
      </c>
      <c r="N190" s="13">
        <v>53</v>
      </c>
      <c r="O190" s="15"/>
      <c r="P190" s="6">
        <v>40998.879571759258</v>
      </c>
      <c r="Q190" s="17" t="s">
        <v>952</v>
      </c>
      <c r="R190" s="18" t="s">
        <v>953</v>
      </c>
      <c r="S190" s="12"/>
      <c r="T190" s="12"/>
      <c r="U190" s="10" t="str">
        <f>HYPERLINK("https://pbs.twimg.com/profile_images/813070980767776768/hRG0ZXYw.jpg","View")</f>
        <v>View</v>
      </c>
    </row>
    <row r="191" spans="1:21" ht="30.6">
      <c r="A191" s="6">
        <v>43427.608425925922</v>
      </c>
      <c r="B191" s="7" t="str">
        <f>HYPERLINK("https://twitter.com/mrexplorador","@mrexplorador")</f>
        <v>@mrexplorador</v>
      </c>
      <c r="C191" s="8" t="s">
        <v>954</v>
      </c>
      <c r="D191" s="9" t="s">
        <v>955</v>
      </c>
      <c r="E191" s="10" t="str">
        <f>HYPERLINK("https://twitter.com/mrexplorador/status/1065962201691889664","1065962201691889664")</f>
        <v>1065962201691889664</v>
      </c>
      <c r="F191" s="11" t="s">
        <v>956</v>
      </c>
      <c r="G191" s="12"/>
      <c r="H191" s="12"/>
      <c r="I191" s="13">
        <v>1</v>
      </c>
      <c r="J191" s="13">
        <v>0</v>
      </c>
      <c r="K191" s="14" t="str">
        <f t="shared" si="28"/>
        <v>Twitter for iPad</v>
      </c>
      <c r="L191" s="13">
        <v>656</v>
      </c>
      <c r="M191" s="13">
        <v>299</v>
      </c>
      <c r="N191" s="13">
        <v>2</v>
      </c>
      <c r="O191" s="15"/>
      <c r="P191" s="6">
        <v>43198.733622685184</v>
      </c>
      <c r="Q191" s="12"/>
      <c r="R191" s="19"/>
      <c r="S191" s="12"/>
      <c r="T191" s="12"/>
      <c r="U191" s="10" t="str">
        <f>HYPERLINK("https://pbs.twimg.com/profile_images/983029093007577089/NCDg8wbO.jpg","View")</f>
        <v>View</v>
      </c>
    </row>
    <row r="192" spans="1:21" ht="20.399999999999999">
      <c r="A192" s="6">
        <v>43427.607777777783</v>
      </c>
      <c r="B192" s="7" t="str">
        <f>HYPERLINK("https://twitter.com/LiderazgoAmLat","@LiderazgoAmLat")</f>
        <v>@LiderazgoAmLat</v>
      </c>
      <c r="C192" s="8" t="s">
        <v>957</v>
      </c>
      <c r="D192" s="9" t="s">
        <v>463</v>
      </c>
      <c r="E192" s="10" t="str">
        <f>HYPERLINK("https://twitter.com/LiderazgoAmLat/status/1065961969449140224","1065961969449140224")</f>
        <v>1065961969449140224</v>
      </c>
      <c r="F192" s="11" t="s">
        <v>809</v>
      </c>
      <c r="G192" s="12"/>
      <c r="H192" s="12"/>
      <c r="I192" s="13">
        <v>0</v>
      </c>
      <c r="J192" s="13">
        <v>0</v>
      </c>
      <c r="K192" s="14" t="str">
        <f>HYPERLINK("https://ifttt.com","IFTTT")</f>
        <v>IFTTT</v>
      </c>
      <c r="L192" s="13">
        <v>15036</v>
      </c>
      <c r="M192" s="13">
        <v>294</v>
      </c>
      <c r="N192" s="13">
        <v>18</v>
      </c>
      <c r="O192" s="15"/>
      <c r="P192" s="6">
        <v>40371.96947916667</v>
      </c>
      <c r="Q192" s="12"/>
      <c r="R192" s="19"/>
      <c r="S192" s="12"/>
      <c r="T192" s="12"/>
      <c r="U192" s="10" t="str">
        <f>HYPERLINK("https://pbs.twimg.com/profile_images/624677285749227520/d5w-8rAk.png","View")</f>
        <v>View</v>
      </c>
    </row>
    <row r="193" spans="1:21" ht="30.6">
      <c r="A193" s="6">
        <v>43427.607268518521</v>
      </c>
      <c r="B193" s="7" t="str">
        <f>HYPERLINK("https://twitter.com/J_Cummings__","@J_Cummings__")</f>
        <v>@J_Cummings__</v>
      </c>
      <c r="C193" s="8" t="s">
        <v>958</v>
      </c>
      <c r="D193" s="9" t="s">
        <v>959</v>
      </c>
      <c r="E193" s="10" t="str">
        <f>HYPERLINK("https://twitter.com/J_Cummings__/status/1065961783612121088","1065961783612121088")</f>
        <v>1065961783612121088</v>
      </c>
      <c r="F193" s="12"/>
      <c r="G193" s="12"/>
      <c r="H193" s="12"/>
      <c r="I193" s="13">
        <v>0</v>
      </c>
      <c r="J193" s="13">
        <v>8</v>
      </c>
      <c r="K193" s="14" t="str">
        <f>HYPERLINK("http://twitter.com/download/android","Twitter for Android")</f>
        <v>Twitter for Android</v>
      </c>
      <c r="L193" s="13">
        <v>2861</v>
      </c>
      <c r="M193" s="13">
        <v>4614</v>
      </c>
      <c r="N193" s="13">
        <v>5</v>
      </c>
      <c r="O193" s="15"/>
      <c r="P193" s="6">
        <v>42932.41170138889</v>
      </c>
      <c r="Q193" s="12"/>
      <c r="R193" s="18" t="s">
        <v>960</v>
      </c>
      <c r="S193" s="12"/>
      <c r="T193" s="12"/>
      <c r="U193" s="10" t="str">
        <f>HYPERLINK("https://pbs.twimg.com/profile_images/1001346203894808576/rjIN2m8g.jpg","View")</f>
        <v>View</v>
      </c>
    </row>
    <row r="194" spans="1:21" ht="40.799999999999997">
      <c r="A194" s="6">
        <v>43427.607256944444</v>
      </c>
      <c r="B194" s="7" t="str">
        <f>HYPERLINK("https://twitter.com/RafaelRossello","@RafaelRossello")</f>
        <v>@RafaelRossello</v>
      </c>
      <c r="C194" s="8" t="s">
        <v>961</v>
      </c>
      <c r="D194" s="9" t="s">
        <v>589</v>
      </c>
      <c r="E194" s="10" t="str">
        <f>HYPERLINK("https://twitter.com/RafaelRossello/status/1065961779518427136","1065961779518427136")</f>
        <v>1065961779518427136</v>
      </c>
      <c r="F194" s="11" t="s">
        <v>956</v>
      </c>
      <c r="G194" s="12"/>
      <c r="H194" s="12"/>
      <c r="I194" s="13">
        <v>0</v>
      </c>
      <c r="J194" s="13">
        <v>0</v>
      </c>
      <c r="K194" s="14" t="str">
        <f>HYPERLINK("http://twitter.com","Twitter Web Client")</f>
        <v>Twitter Web Client</v>
      </c>
      <c r="L194" s="13">
        <v>2057</v>
      </c>
      <c r="M194" s="13">
        <v>3422</v>
      </c>
      <c r="N194" s="13">
        <v>77</v>
      </c>
      <c r="O194" s="15"/>
      <c r="P194" s="6">
        <v>40587.293854166666</v>
      </c>
      <c r="Q194" s="17" t="s">
        <v>962</v>
      </c>
      <c r="R194" s="18" t="s">
        <v>963</v>
      </c>
      <c r="S194" s="11" t="s">
        <v>964</v>
      </c>
      <c r="T194" s="12"/>
      <c r="U194" s="10" t="str">
        <f>HYPERLINK("https://pbs.twimg.com/profile_images/1033041698203611142/1Cp-88DS.jpg","View")</f>
        <v>View</v>
      </c>
    </row>
    <row r="195" spans="1:21" ht="30.6">
      <c r="A195" s="6">
        <v>43427.606967592597</v>
      </c>
      <c r="B195" s="7" t="str">
        <f>HYPERLINK("https://twitter.com/NoticieroUniv","@NoticieroUniv")</f>
        <v>@NoticieroUniv</v>
      </c>
      <c r="C195" s="8" t="s">
        <v>965</v>
      </c>
      <c r="D195" s="9" t="s">
        <v>966</v>
      </c>
      <c r="E195" s="10" t="str">
        <f>HYPERLINK("https://twitter.com/NoticieroUniv/status/1065961673075433473","1065961673075433473")</f>
        <v>1065961673075433473</v>
      </c>
      <c r="F195" s="11" t="s">
        <v>967</v>
      </c>
      <c r="G195" s="12"/>
      <c r="H195" s="12"/>
      <c r="I195" s="13">
        <v>0</v>
      </c>
      <c r="J195" s="13">
        <v>0</v>
      </c>
      <c r="K195" s="14" t="str">
        <f>HYPERLINK("https://noticierouniversal.com/","NoticieroUniversal")</f>
        <v>NoticieroUniversal</v>
      </c>
      <c r="L195" s="13">
        <v>1080</v>
      </c>
      <c r="M195" s="13">
        <v>36</v>
      </c>
      <c r="N195" s="13">
        <v>21</v>
      </c>
      <c r="O195" s="15"/>
      <c r="P195" s="6">
        <v>42402.547939814816</v>
      </c>
      <c r="Q195" s="17" t="s">
        <v>277</v>
      </c>
      <c r="R195" s="18" t="s">
        <v>968</v>
      </c>
      <c r="S195" s="11" t="s">
        <v>969</v>
      </c>
      <c r="T195" s="12"/>
      <c r="U195" s="10" t="str">
        <f>HYPERLINK("https://pbs.twimg.com/profile_images/719648419925594113/OnR0XNMn.jpg","View")</f>
        <v>View</v>
      </c>
    </row>
    <row r="196" spans="1:21" ht="40.799999999999997">
      <c r="A196" s="6">
        <v>43427.606747685189</v>
      </c>
      <c r="B196" s="7" t="str">
        <f>HYPERLINK("https://twitter.com/Montornesco","@Montornesco")</f>
        <v>@Montornesco</v>
      </c>
      <c r="C196" s="8" t="s">
        <v>970</v>
      </c>
      <c r="D196" s="9" t="s">
        <v>971</v>
      </c>
      <c r="E196" s="10" t="str">
        <f>HYPERLINK("https://twitter.com/Montornesco/status/1065961593345900544","1065961593345900544")</f>
        <v>1065961593345900544</v>
      </c>
      <c r="F196" s="12"/>
      <c r="G196" s="12"/>
      <c r="H196" s="12"/>
      <c r="I196" s="13">
        <v>0</v>
      </c>
      <c r="J196" s="13">
        <v>0</v>
      </c>
      <c r="K196" s="14" t="str">
        <f>HYPERLINK("http://twitter.com/download/android","Twitter for Android")</f>
        <v>Twitter for Android</v>
      </c>
      <c r="L196" s="13">
        <v>2108</v>
      </c>
      <c r="M196" s="13">
        <v>2650</v>
      </c>
      <c r="N196" s="13">
        <v>9</v>
      </c>
      <c r="O196" s="15"/>
      <c r="P196" s="6">
        <v>43017.609050925923</v>
      </c>
      <c r="Q196" s="17" t="s">
        <v>972</v>
      </c>
      <c r="R196" s="18" t="s">
        <v>973</v>
      </c>
      <c r="S196" s="12"/>
      <c r="T196" s="12"/>
      <c r="U196" s="10" t="str">
        <f>HYPERLINK("https://pbs.twimg.com/profile_images/976212986351243269/2bV6TxHW.jpg","View")</f>
        <v>View</v>
      </c>
    </row>
    <row r="197" spans="1:21" ht="40.799999999999997">
      <c r="A197" s="6">
        <v>43427.606631944444</v>
      </c>
      <c r="B197" s="7" t="str">
        <f>HYPERLINK("https://twitter.com/JoseLui56432410","@JoseLui56432410")</f>
        <v>@JoseLui56432410</v>
      </c>
      <c r="C197" s="8" t="s">
        <v>974</v>
      </c>
      <c r="D197" s="9" t="s">
        <v>250</v>
      </c>
      <c r="E197" s="10" t="str">
        <f>HYPERLINK("https://twitter.com/JoseLui56432410/status/1065961552648552449","1065961552648552449")</f>
        <v>1065961552648552449</v>
      </c>
      <c r="F197" s="11" t="s">
        <v>975</v>
      </c>
      <c r="G197" s="12"/>
      <c r="H197" s="12"/>
      <c r="I197" s="13">
        <v>0</v>
      </c>
      <c r="J197" s="13">
        <v>0</v>
      </c>
      <c r="K197" s="14" t="str">
        <f>HYPERLINK("http://www.facebook.com/twitter","Facebook")</f>
        <v>Facebook</v>
      </c>
      <c r="L197" s="13">
        <v>378</v>
      </c>
      <c r="M197" s="13">
        <v>400</v>
      </c>
      <c r="N197" s="13">
        <v>14</v>
      </c>
      <c r="O197" s="15"/>
      <c r="P197" s="6">
        <v>41046.983993055554</v>
      </c>
      <c r="Q197" s="17" t="s">
        <v>72</v>
      </c>
      <c r="R197" s="18" t="s">
        <v>976</v>
      </c>
      <c r="S197" s="12"/>
      <c r="T197" s="12"/>
      <c r="U197" s="10" t="str">
        <f>HYPERLINK("https://pbs.twimg.com/profile_images/1000422001398427648/dVAfcPvy.jpg","View")</f>
        <v>View</v>
      </c>
    </row>
    <row r="198" spans="1:21" ht="40.799999999999997">
      <c r="A198" s="6">
        <v>43427.606412037036</v>
      </c>
      <c r="B198" s="7" t="str">
        <f>HYPERLINK("https://twitter.com/don_Diario","@don_Diario")</f>
        <v>@don_Diario</v>
      </c>
      <c r="C198" s="20" t="s">
        <v>529</v>
      </c>
      <c r="D198" s="9" t="s">
        <v>977</v>
      </c>
      <c r="E198" s="10" t="str">
        <f>HYPERLINK("https://twitter.com/don_Diario/status/1065961472008888320","1065961472008888320")</f>
        <v>1065961472008888320</v>
      </c>
      <c r="F198" s="11" t="s">
        <v>978</v>
      </c>
      <c r="G198" s="11" t="s">
        <v>979</v>
      </c>
      <c r="H198" s="12"/>
      <c r="I198" s="13">
        <v>0</v>
      </c>
      <c r="J198" s="13">
        <v>0</v>
      </c>
      <c r="K198" s="14" t="str">
        <f>HYPERLINK("https://about.twitter.com/products/tweetdeck","TweetDeck")</f>
        <v>TweetDeck</v>
      </c>
      <c r="L198" s="13">
        <v>47775</v>
      </c>
      <c r="M198" s="13">
        <v>92</v>
      </c>
      <c r="N198" s="13">
        <v>1334</v>
      </c>
      <c r="O198" s="15"/>
      <c r="P198" s="6">
        <v>39911.462465277778</v>
      </c>
      <c r="Q198" s="17" t="s">
        <v>28</v>
      </c>
      <c r="R198" s="18" t="s">
        <v>540</v>
      </c>
      <c r="S198" s="11" t="s">
        <v>541</v>
      </c>
      <c r="T198" s="12"/>
      <c r="U198" s="10" t="str">
        <f>HYPERLINK("https://pbs.twimg.com/profile_images/1048140162247675904/sLf5W_y0.jpg","View")</f>
        <v>View</v>
      </c>
    </row>
    <row r="199" spans="1:21" ht="40.799999999999997">
      <c r="A199" s="6">
        <v>43427.606307870374</v>
      </c>
      <c r="B199" s="7" t="str">
        <f>HYPERLINK("https://twitter.com/CubanThaw","@CubanThaw")</f>
        <v>@CubanThaw</v>
      </c>
      <c r="C199" s="8" t="s">
        <v>980</v>
      </c>
      <c r="D199" s="9" t="s">
        <v>981</v>
      </c>
      <c r="E199" s="10" t="str">
        <f>HYPERLINK("https://twitter.com/CubanThaw/status/1065961433937207296","1065961433937207296")</f>
        <v>1065961433937207296</v>
      </c>
      <c r="F199" s="11" t="s">
        <v>982</v>
      </c>
      <c r="G199" s="12"/>
      <c r="H199" s="12"/>
      <c r="I199" s="13">
        <v>0</v>
      </c>
      <c r="J199" s="13">
        <v>0</v>
      </c>
      <c r="K199" s="14" t="str">
        <f>HYPERLINK("https://zapier.com/","Zapier.com")</f>
        <v>Zapier.com</v>
      </c>
      <c r="L199" s="13">
        <v>63</v>
      </c>
      <c r="M199" s="13">
        <v>30</v>
      </c>
      <c r="N199" s="13">
        <v>6</v>
      </c>
      <c r="O199" s="15"/>
      <c r="P199" s="6">
        <v>42154.275914351849</v>
      </c>
      <c r="Q199" s="17" t="s">
        <v>40</v>
      </c>
      <c r="R199" s="18" t="s">
        <v>984</v>
      </c>
      <c r="S199" s="11" t="s">
        <v>985</v>
      </c>
      <c r="T199" s="12"/>
      <c r="U199" s="10" t="str">
        <f>HYPERLINK("https://pbs.twimg.com/profile_images/825036104843816961/pLSILOuA.jpg","View")</f>
        <v>View</v>
      </c>
    </row>
    <row r="200" spans="1:21" ht="40.799999999999997">
      <c r="A200" s="6">
        <v>43427.605729166666</v>
      </c>
      <c r="B200" s="7" t="str">
        <f>HYPERLINK("https://twitter.com/pilar_menchero","@pilar_menchero")</f>
        <v>@pilar_menchero</v>
      </c>
      <c r="C200" s="8" t="s">
        <v>987</v>
      </c>
      <c r="D200" s="9" t="s">
        <v>988</v>
      </c>
      <c r="E200" s="10" t="str">
        <f>HYPERLINK("https://twitter.com/pilar_menchero/status/1065961225190866944","1065961225190866944")</f>
        <v>1065961225190866944</v>
      </c>
      <c r="F200" s="12"/>
      <c r="G200" s="12"/>
      <c r="H200" s="12"/>
      <c r="I200" s="13">
        <v>0</v>
      </c>
      <c r="J200" s="13">
        <v>0</v>
      </c>
      <c r="K200" s="14" t="str">
        <f>HYPERLINK("http://twitter.com/download/android","Twitter for Android")</f>
        <v>Twitter for Android</v>
      </c>
      <c r="L200" s="13">
        <v>45</v>
      </c>
      <c r="M200" s="13">
        <v>153</v>
      </c>
      <c r="N200" s="13">
        <v>0</v>
      </c>
      <c r="O200" s="15"/>
      <c r="P200" s="6">
        <v>43120.068761574075</v>
      </c>
      <c r="Q200" s="12"/>
      <c r="R200" s="18" t="s">
        <v>989</v>
      </c>
      <c r="S200" s="12"/>
      <c r="T200" s="12"/>
      <c r="U200" s="10" t="str">
        <f>HYPERLINK("https://pbs.twimg.com/profile_images/954519127326167045/b9hDfGwx.jpg","View")</f>
        <v>View</v>
      </c>
    </row>
    <row r="201" spans="1:21" ht="30.6">
      <c r="A201" s="6">
        <v>43427.60555555555</v>
      </c>
      <c r="B201" s="7" t="str">
        <f>HYPERLINK("https://twitter.com/pressdigital","@pressdigital")</f>
        <v>@pressdigital</v>
      </c>
      <c r="C201" s="8" t="s">
        <v>990</v>
      </c>
      <c r="D201" s="9" t="s">
        <v>991</v>
      </c>
      <c r="E201" s="10" t="str">
        <f>HYPERLINK("https://twitter.com/pressdigital/status/1065961163933040640","1065961163933040640")</f>
        <v>1065961163933040640</v>
      </c>
      <c r="F201" s="11" t="s">
        <v>992</v>
      </c>
      <c r="G201" s="12"/>
      <c r="H201" s="12"/>
      <c r="I201" s="13">
        <v>0</v>
      </c>
      <c r="J201" s="13">
        <v>0</v>
      </c>
      <c r="K201" s="14" t="str">
        <f>HYPERLINK("https://buffer.com","Buffer")</f>
        <v>Buffer</v>
      </c>
      <c r="L201" s="13">
        <v>1203</v>
      </c>
      <c r="M201" s="13">
        <v>1054</v>
      </c>
      <c r="N201" s="13">
        <v>73</v>
      </c>
      <c r="O201" s="15"/>
      <c r="P201" s="6">
        <v>40142.836041666669</v>
      </c>
      <c r="Q201" s="17" t="s">
        <v>28</v>
      </c>
      <c r="R201" s="18" t="s">
        <v>993</v>
      </c>
      <c r="S201" s="11" t="s">
        <v>994</v>
      </c>
      <c r="T201" s="12"/>
      <c r="U201" s="10" t="str">
        <f>HYPERLINK("https://pbs.twimg.com/profile_images/686495616231444480/68bUHQ6J.jpg","View")</f>
        <v>View</v>
      </c>
    </row>
    <row r="202" spans="1:21" ht="40.799999999999997">
      <c r="A202" s="6">
        <v>43427.605254629627</v>
      </c>
      <c r="B202" s="7" t="str">
        <f>HYPERLINK("https://twitter.com/IvanPadronWay","@IvanPadronWay")</f>
        <v>@IvanPadronWay</v>
      </c>
      <c r="C202" s="8" t="s">
        <v>995</v>
      </c>
      <c r="D202" s="9" t="s">
        <v>996</v>
      </c>
      <c r="E202" s="10" t="str">
        <f>HYPERLINK("https://twitter.com/IvanPadronWay/status/1065961052423315458","1065961052423315458")</f>
        <v>1065961052423315458</v>
      </c>
      <c r="F202" s="12"/>
      <c r="G202" s="12"/>
      <c r="H202" s="12"/>
      <c r="I202" s="13">
        <v>0</v>
      </c>
      <c r="J202" s="13">
        <v>0</v>
      </c>
      <c r="K202" s="14" t="str">
        <f>HYPERLINK("http://www.facebook.com/twitter","Facebook")</f>
        <v>Facebook</v>
      </c>
      <c r="L202" s="13">
        <v>128</v>
      </c>
      <c r="M202" s="13">
        <v>489</v>
      </c>
      <c r="N202" s="13">
        <v>3</v>
      </c>
      <c r="O202" s="15"/>
      <c r="P202" s="6">
        <v>40756.689039351855</v>
      </c>
      <c r="Q202" s="12"/>
      <c r="R202" s="18" t="s">
        <v>997</v>
      </c>
      <c r="S202" s="12"/>
      <c r="T202" s="12"/>
      <c r="U202" s="10" t="str">
        <f>HYPERLINK("https://pbs.twimg.com/profile_images/830589867511861249/tbwOe-Lj.jpg","View")</f>
        <v>View</v>
      </c>
    </row>
    <row r="203" spans="1:21" ht="40.799999999999997">
      <c r="A203" s="6">
        <v>43427.604675925926</v>
      </c>
      <c r="B203" s="7" t="str">
        <f>HYPERLINK("https://twitter.com/rosaroja1956","@rosaroja1956")</f>
        <v>@rosaroja1956</v>
      </c>
      <c r="C203" s="8" t="s">
        <v>998</v>
      </c>
      <c r="D203" s="9" t="s">
        <v>589</v>
      </c>
      <c r="E203" s="10" t="str">
        <f>HYPERLINK("https://twitter.com/rosaroja1956/status/1065960844184440833","1065960844184440833")</f>
        <v>1065960844184440833</v>
      </c>
      <c r="F203" s="11" t="s">
        <v>956</v>
      </c>
      <c r="G203" s="12"/>
      <c r="H203" s="12"/>
      <c r="I203" s="13">
        <v>0</v>
      </c>
      <c r="J203" s="13">
        <v>0</v>
      </c>
      <c r="K203" s="14" t="str">
        <f>HYPERLINK("http://twitter.com/#!/download/ipad","Twitter for iPad")</f>
        <v>Twitter for iPad</v>
      </c>
      <c r="L203" s="13">
        <v>7435</v>
      </c>
      <c r="M203" s="13">
        <v>7410</v>
      </c>
      <c r="N203" s="13">
        <v>123</v>
      </c>
      <c r="O203" s="15"/>
      <c r="P203" s="6">
        <v>40578.857638888891</v>
      </c>
      <c r="Q203" s="17" t="s">
        <v>999</v>
      </c>
      <c r="R203" s="18" t="s">
        <v>1000</v>
      </c>
      <c r="S203" s="11" t="s">
        <v>1001</v>
      </c>
      <c r="T203" s="12"/>
      <c r="U203" s="10" t="str">
        <f>HYPERLINK("https://pbs.twimg.com/profile_images/1061694505043275777/GxGNHsxt.jpg","View")</f>
        <v>View</v>
      </c>
    </row>
    <row r="204" spans="1:21" ht="20.399999999999999">
      <c r="A204" s="6">
        <v>43427.604421296295</v>
      </c>
      <c r="B204" s="7" t="str">
        <f>HYPERLINK("https://twitter.com/TurboNoticias","@TurboNoticias")</f>
        <v>@TurboNoticias</v>
      </c>
      <c r="C204" s="8" t="s">
        <v>1002</v>
      </c>
      <c r="D204" s="9" t="s">
        <v>250</v>
      </c>
      <c r="E204" s="10" t="str">
        <f>HYPERLINK("https://twitter.com/TurboNoticias/status/1065960750760513537","1065960750760513537")</f>
        <v>1065960750760513537</v>
      </c>
      <c r="F204" s="11" t="s">
        <v>975</v>
      </c>
      <c r="G204" s="12"/>
      <c r="H204" s="12"/>
      <c r="I204" s="13">
        <v>0</v>
      </c>
      <c r="J204" s="13">
        <v>0</v>
      </c>
      <c r="K204" s="14" t="str">
        <f>HYPERLINK("https://ifttt.com","IFTTT")</f>
        <v>IFTTT</v>
      </c>
      <c r="L204" s="13">
        <v>962</v>
      </c>
      <c r="M204" s="13">
        <v>853</v>
      </c>
      <c r="N204" s="13">
        <v>72</v>
      </c>
      <c r="O204" s="15"/>
      <c r="P204" s="6">
        <v>41374.90861111111</v>
      </c>
      <c r="Q204" s="12"/>
      <c r="R204" s="18" t="s">
        <v>1003</v>
      </c>
      <c r="S204" s="12"/>
      <c r="T204" s="12"/>
      <c r="U204" s="10" t="str">
        <f>HYPERLINK("https://pbs.twimg.com/profile_images/3503488030/f3fa72449e81ed8eb09fe5df9d6c5afe.jpeg","View")</f>
        <v>View</v>
      </c>
    </row>
    <row r="205" spans="1:21" ht="61.2">
      <c r="A205" s="6">
        <v>43427.60428240741</v>
      </c>
      <c r="B205" s="7" t="str">
        <f>HYPERLINK("https://twitter.com/rrodriguezmaeso","@rrodriguezmaeso")</f>
        <v>@rrodriguezmaeso</v>
      </c>
      <c r="C205" s="8" t="s">
        <v>1004</v>
      </c>
      <c r="D205" s="9" t="s">
        <v>1005</v>
      </c>
      <c r="E205" s="10" t="str">
        <f>HYPERLINK("https://twitter.com/rrodriguezmaeso/status/1065960701095800832","1065960701095800832")</f>
        <v>1065960701095800832</v>
      </c>
      <c r="F205" s="11" t="s">
        <v>1006</v>
      </c>
      <c r="G205" s="12"/>
      <c r="H205" s="12"/>
      <c r="I205" s="13">
        <v>1</v>
      </c>
      <c r="J205" s="13">
        <v>0</v>
      </c>
      <c r="K205" s="14" t="str">
        <f>HYPERLINK("http://twitter.com","Twitter Web Client")</f>
        <v>Twitter Web Client</v>
      </c>
      <c r="L205" s="13">
        <v>892</v>
      </c>
      <c r="M205" s="13">
        <v>386</v>
      </c>
      <c r="N205" s="13">
        <v>33</v>
      </c>
      <c r="O205" s="15"/>
      <c r="P205" s="6">
        <v>40626.027349537035</v>
      </c>
      <c r="Q205" s="17" t="s">
        <v>28</v>
      </c>
      <c r="R205" s="18" t="s">
        <v>1007</v>
      </c>
      <c r="S205" s="12"/>
      <c r="T205" s="12"/>
      <c r="U205" s="10" t="str">
        <f>HYPERLINK("https://pbs.twimg.com/profile_images/752133495502303232/YfXQM-UK.jpg","View")</f>
        <v>View</v>
      </c>
    </row>
    <row r="206" spans="1:21" ht="20.399999999999999">
      <c r="A206" s="6">
        <v>43427.603981481487</v>
      </c>
      <c r="B206" s="7" t="str">
        <f>HYPERLINK("https://twitter.com/nociticaseconom","@nociticaseconom")</f>
        <v>@nociticaseconom</v>
      </c>
      <c r="C206" s="8" t="s">
        <v>1008</v>
      </c>
      <c r="D206" s="9" t="s">
        <v>463</v>
      </c>
      <c r="E206" s="10" t="str">
        <f>HYPERLINK("https://twitter.com/nociticaseconom/status/1065960593541214208","1065960593541214208")</f>
        <v>1065960593541214208</v>
      </c>
      <c r="F206" s="11" t="s">
        <v>1009</v>
      </c>
      <c r="G206" s="12"/>
      <c r="H206" s="12"/>
      <c r="I206" s="13">
        <v>0</v>
      </c>
      <c r="J206" s="13">
        <v>0</v>
      </c>
      <c r="K206" s="14" t="str">
        <f>HYPERLINK("https://ifttt.com","IFTTT")</f>
        <v>IFTTT</v>
      </c>
      <c r="L206" s="13">
        <v>1143</v>
      </c>
      <c r="M206" s="13">
        <v>31</v>
      </c>
      <c r="N206" s="13">
        <v>93</v>
      </c>
      <c r="O206" s="15"/>
      <c r="P206" s="6">
        <v>41071.470601851848</v>
      </c>
      <c r="Q206" s="12"/>
      <c r="R206" s="18" t="s">
        <v>1010</v>
      </c>
      <c r="S206" s="12"/>
      <c r="T206" s="12"/>
      <c r="U206" s="10" t="str">
        <f>HYPERLINK("https://pbs.twimg.com/profile_images/2311198248/trmu036na2czs3vxdwrx.jpeg","View")</f>
        <v>View</v>
      </c>
    </row>
    <row r="207" spans="1:21" ht="30.6">
      <c r="A207" s="6">
        <v>43427.603831018518</v>
      </c>
      <c r="B207" s="7" t="str">
        <f>HYPERLINK("https://twitter.com/joseamartos","@joseamartos")</f>
        <v>@joseamartos</v>
      </c>
      <c r="C207" s="8" t="s">
        <v>1011</v>
      </c>
      <c r="D207" s="9" t="s">
        <v>1012</v>
      </c>
      <c r="E207" s="10" t="str">
        <f>HYPERLINK("https://twitter.com/joseamartos/status/1065960537828278272","1065960537828278272")</f>
        <v>1065960537828278272</v>
      </c>
      <c r="F207" s="12"/>
      <c r="G207" s="12"/>
      <c r="H207" s="12"/>
      <c r="I207" s="13">
        <v>0</v>
      </c>
      <c r="J207" s="13">
        <v>0</v>
      </c>
      <c r="K207" s="14" t="str">
        <f>HYPERLINK("http://twitter.com","Twitter Web Client")</f>
        <v>Twitter Web Client</v>
      </c>
      <c r="L207" s="13">
        <v>876</v>
      </c>
      <c r="M207" s="13">
        <v>1958</v>
      </c>
      <c r="N207" s="13">
        <v>14</v>
      </c>
      <c r="O207" s="15"/>
      <c r="P207" s="6">
        <v>40867.46261574074</v>
      </c>
      <c r="Q207" s="17" t="s">
        <v>1013</v>
      </c>
      <c r="R207" s="18" t="s">
        <v>1014</v>
      </c>
      <c r="S207" s="12"/>
      <c r="T207" s="12"/>
      <c r="U207" s="10" t="str">
        <f>HYPERLINK("https://pbs.twimg.com/profile_images/1003354354726862849/Wuag1Y4x.jpg","View")</f>
        <v>View</v>
      </c>
    </row>
    <row r="208" spans="1:21" ht="61.2">
      <c r="A208" s="6">
        <v>43427.60365740741</v>
      </c>
      <c r="B208" s="7" t="str">
        <f>HYPERLINK("https://twitter.com/PSOE_SanPedro","@PSOE_SanPedro")</f>
        <v>@PSOE_SanPedro</v>
      </c>
      <c r="C208" s="8" t="s">
        <v>1015</v>
      </c>
      <c r="D208" s="9" t="s">
        <v>1016</v>
      </c>
      <c r="E208" s="10" t="str">
        <f>HYPERLINK("https://twitter.com/PSOE_SanPedro/status/1065960477027635200","1065960477027635200")</f>
        <v>1065960477027635200</v>
      </c>
      <c r="F208" s="12"/>
      <c r="G208" s="11" t="s">
        <v>1017</v>
      </c>
      <c r="H208" s="12"/>
      <c r="I208" s="13">
        <v>3</v>
      </c>
      <c r="J208" s="13">
        <v>1</v>
      </c>
      <c r="K208" s="14" t="str">
        <f>HYPERLINK("http://twitter.com/download/android","Twitter for Android")</f>
        <v>Twitter for Android</v>
      </c>
      <c r="L208" s="13">
        <v>2542</v>
      </c>
      <c r="M208" s="13">
        <v>1826</v>
      </c>
      <c r="N208" s="13">
        <v>44</v>
      </c>
      <c r="O208" s="15"/>
      <c r="P208" s="6">
        <v>40941.77679398148</v>
      </c>
      <c r="Q208" s="17" t="s">
        <v>1018</v>
      </c>
      <c r="R208" s="18" t="s">
        <v>1019</v>
      </c>
      <c r="S208" s="11" t="s">
        <v>1020</v>
      </c>
      <c r="T208" s="12"/>
      <c r="U208" s="10" t="str">
        <f>HYPERLINK("https://pbs.twimg.com/profile_images/943759769600438272/ugaMiFgJ.jpg","View")</f>
        <v>View</v>
      </c>
    </row>
    <row r="209" spans="1:21" ht="81.599999999999994">
      <c r="A209" s="6">
        <v>43427.603634259256</v>
      </c>
      <c r="B209" s="7" t="str">
        <f>HYPERLINK("https://twitter.com/MelisaRguezCs","@MelisaRguezCs")</f>
        <v>@MelisaRguezCs</v>
      </c>
      <c r="C209" s="8" t="s">
        <v>1021</v>
      </c>
      <c r="D209" s="9" t="s">
        <v>1022</v>
      </c>
      <c r="E209" s="10" t="str">
        <f>HYPERLINK("https://twitter.com/MelisaRguezCs/status/1065960467540135937","1065960467540135937")</f>
        <v>1065960467540135937</v>
      </c>
      <c r="F209" s="11" t="s">
        <v>1023</v>
      </c>
      <c r="G209" s="11" t="s">
        <v>1024</v>
      </c>
      <c r="H209" s="12"/>
      <c r="I209" s="13">
        <v>48</v>
      </c>
      <c r="J209" s="13">
        <v>56</v>
      </c>
      <c r="K209" s="14" t="str">
        <f>HYPERLINK("http://twitter.com/download/iphone","Twitter for iPhone")</f>
        <v>Twitter for iPhone</v>
      </c>
      <c r="L209" s="13">
        <v>14304</v>
      </c>
      <c r="M209" s="13">
        <v>1219</v>
      </c>
      <c r="N209" s="13">
        <v>205</v>
      </c>
      <c r="O209" s="15"/>
      <c r="P209" s="6">
        <v>42108.709606481483</v>
      </c>
      <c r="Q209" s="17" t="s">
        <v>1025</v>
      </c>
      <c r="R209" s="18" t="s">
        <v>1026</v>
      </c>
      <c r="S209" s="11" t="s">
        <v>1027</v>
      </c>
      <c r="T209" s="12"/>
      <c r="U209" s="10" t="str">
        <f>HYPERLINK("https://pbs.twimg.com/profile_images/1017361919861239809/cSVvKLJs.jpg","View")</f>
        <v>View</v>
      </c>
    </row>
    <row r="210" spans="1:21" ht="20.399999999999999">
      <c r="A210" s="6">
        <v>43427.603437500002</v>
      </c>
      <c r="B210" s="7" t="str">
        <f>HYPERLINK("https://twitter.com/EPAndalucia","@EPAndalucia")</f>
        <v>@EPAndalucia</v>
      </c>
      <c r="C210" s="8" t="s">
        <v>1028</v>
      </c>
      <c r="D210" s="9" t="s">
        <v>1029</v>
      </c>
      <c r="E210" s="10" t="str">
        <f>HYPERLINK("https://twitter.com/EPAndalucia/status/1065960395033255937","1065960395033255937")</f>
        <v>1065960395033255937</v>
      </c>
      <c r="F210" s="11" t="s">
        <v>1030</v>
      </c>
      <c r="G210" s="12"/>
      <c r="H210" s="12"/>
      <c r="I210" s="13">
        <v>0</v>
      </c>
      <c r="J210" s="13">
        <v>0</v>
      </c>
      <c r="K210" s="14" t="str">
        <f>HYPERLINK("http://www.europapress.es/andalucia","Twitter editor Andalucia")</f>
        <v>Twitter editor Andalucia</v>
      </c>
      <c r="L210" s="13">
        <v>37381</v>
      </c>
      <c r="M210" s="13">
        <v>1177</v>
      </c>
      <c r="N210" s="13">
        <v>855</v>
      </c>
      <c r="O210" s="15"/>
      <c r="P210" s="6">
        <v>40540.744988425926</v>
      </c>
      <c r="Q210" s="17" t="s">
        <v>1031</v>
      </c>
      <c r="R210" s="18" t="s">
        <v>1032</v>
      </c>
      <c r="S210" s="11" t="s">
        <v>1033</v>
      </c>
      <c r="T210" s="12"/>
      <c r="U210" s="10" t="str">
        <f>HYPERLINK("https://pbs.twimg.com/profile_images/876784913466503168/u7k3N7mS.jpg","View")</f>
        <v>View</v>
      </c>
    </row>
    <row r="211" spans="1:21" ht="61.2">
      <c r="A211" s="6">
        <v>43427.603414351848</v>
      </c>
      <c r="B211" s="7" t="str">
        <f>HYPERLINK("https://twitter.com/PSOEAytMarbella","@PSOEAytMarbella")</f>
        <v>@PSOEAytMarbella</v>
      </c>
      <c r="C211" s="8" t="s">
        <v>1034</v>
      </c>
      <c r="D211" s="9" t="s">
        <v>1016</v>
      </c>
      <c r="E211" s="10" t="str">
        <f>HYPERLINK("https://twitter.com/PSOEAytMarbella/status/1065960387873566721","1065960387873566721")</f>
        <v>1065960387873566721</v>
      </c>
      <c r="F211" s="12"/>
      <c r="G211" s="11" t="s">
        <v>1035</v>
      </c>
      <c r="H211" s="12"/>
      <c r="I211" s="13">
        <v>2</v>
      </c>
      <c r="J211" s="13">
        <v>0</v>
      </c>
      <c r="K211" s="14" t="str">
        <f>HYPERLINK("http://twitter.com/download/android","Twitter for Android")</f>
        <v>Twitter for Android</v>
      </c>
      <c r="L211" s="13">
        <v>346</v>
      </c>
      <c r="M211" s="13">
        <v>1507</v>
      </c>
      <c r="N211" s="13">
        <v>7</v>
      </c>
      <c r="O211" s="15"/>
      <c r="P211" s="6">
        <v>43034.684652777782</v>
      </c>
      <c r="Q211" s="17" t="s">
        <v>1036</v>
      </c>
      <c r="R211" s="18" t="s">
        <v>1037</v>
      </c>
      <c r="S211" s="12"/>
      <c r="T211" s="12"/>
      <c r="U211" s="10" t="str">
        <f>HYPERLINK("https://pbs.twimg.com/profile_images/924967196442415105/NnBKTL2g.jpg","View")</f>
        <v>View</v>
      </c>
    </row>
    <row r="212" spans="1:21" ht="51">
      <c r="A212" s="6">
        <v>43427.602881944447</v>
      </c>
      <c r="B212" s="7" t="str">
        <f>HYPERLINK("https://twitter.com/Karma13355592","@Karma13355592")</f>
        <v>@Karma13355592</v>
      </c>
      <c r="C212" s="8" t="s">
        <v>1038</v>
      </c>
      <c r="D212" s="9" t="s">
        <v>1039</v>
      </c>
      <c r="E212" s="10" t="str">
        <f>HYPERLINK("https://twitter.com/Karma13355592/status/1065960193253609473","1065960193253609473")</f>
        <v>1065960193253609473</v>
      </c>
      <c r="F212" s="11" t="s">
        <v>1040</v>
      </c>
      <c r="G212" s="12"/>
      <c r="H212" s="12"/>
      <c r="I212" s="13">
        <v>10</v>
      </c>
      <c r="J212" s="13">
        <v>6</v>
      </c>
      <c r="K212" s="14" t="str">
        <f>HYPERLINK("http://twitter.com","Twitter Web Client")</f>
        <v>Twitter Web Client</v>
      </c>
      <c r="L212" s="13">
        <v>1154</v>
      </c>
      <c r="M212" s="13">
        <v>1797</v>
      </c>
      <c r="N212" s="13">
        <v>0</v>
      </c>
      <c r="O212" s="15"/>
      <c r="P212" s="6">
        <v>42842.946226851855</v>
      </c>
      <c r="Q212" s="17" t="s">
        <v>1041</v>
      </c>
      <c r="R212" s="18" t="s">
        <v>1042</v>
      </c>
      <c r="S212" s="12"/>
      <c r="T212" s="12"/>
      <c r="U212" s="10" t="str">
        <f>HYPERLINK("https://pbs.twimg.com/profile_images/1045066497377341442/OTebmrNR.jpg","View")</f>
        <v>View</v>
      </c>
    </row>
    <row r="213" spans="1:21" ht="30.6">
      <c r="A213" s="6">
        <v>43427.602835648147</v>
      </c>
      <c r="B213" s="7" t="str">
        <f>HYPERLINK("https://twitter.com/DrTochas","@DrTochas")</f>
        <v>@DrTochas</v>
      </c>
      <c r="C213" s="8" t="s">
        <v>1043</v>
      </c>
      <c r="D213" s="9" t="s">
        <v>1044</v>
      </c>
      <c r="E213" s="10" t="str">
        <f>HYPERLINK("https://twitter.com/DrTochas/status/1065960178909102080","1065960178909102080")</f>
        <v>1065960178909102080</v>
      </c>
      <c r="F213" s="12"/>
      <c r="G213" s="12"/>
      <c r="H213" s="12"/>
      <c r="I213" s="13">
        <v>0</v>
      </c>
      <c r="J213" s="13">
        <v>0</v>
      </c>
      <c r="K213" s="14" t="str">
        <f>HYPERLINK("http://twitter.com/download/android","Twitter for Android")</f>
        <v>Twitter for Android</v>
      </c>
      <c r="L213" s="13">
        <v>463</v>
      </c>
      <c r="M213" s="13">
        <v>539</v>
      </c>
      <c r="N213" s="13">
        <v>5</v>
      </c>
      <c r="O213" s="15"/>
      <c r="P213" s="6">
        <v>40916.939733796295</v>
      </c>
      <c r="Q213" s="12"/>
      <c r="R213" s="18" t="s">
        <v>1045</v>
      </c>
      <c r="S213" s="12"/>
      <c r="T213" s="12"/>
      <c r="U213" s="10" t="str">
        <f>HYPERLINK("https://pbs.twimg.com/profile_images/503661183086628865/iUxVUGwJ.jpeg","View")</f>
        <v>View</v>
      </c>
    </row>
    <row r="214" spans="1:21" ht="30.6">
      <c r="A214" s="6">
        <v>43427.602349537032</v>
      </c>
      <c r="B214" s="7" t="str">
        <f>HYPERLINK("https://twitter.com/zoevaldes","@zoevaldes")</f>
        <v>@zoevaldes</v>
      </c>
      <c r="C214" s="8" t="s">
        <v>1046</v>
      </c>
      <c r="D214" s="9" t="s">
        <v>1047</v>
      </c>
      <c r="E214" s="10" t="str">
        <f>HYPERLINK("https://twitter.com/zoevaldes/status/1065960002937122818","1065960002937122818")</f>
        <v>1065960002937122818</v>
      </c>
      <c r="F214" s="11" t="s">
        <v>1049</v>
      </c>
      <c r="G214" s="11" t="s">
        <v>1050</v>
      </c>
      <c r="H214" s="12"/>
      <c r="I214" s="13">
        <v>1</v>
      </c>
      <c r="J214" s="13">
        <v>1</v>
      </c>
      <c r="K214" s="14" t="str">
        <f>HYPERLINK("http://publicize.wp.com/","WordPress.com")</f>
        <v>WordPress.com</v>
      </c>
      <c r="L214" s="13">
        <v>15028</v>
      </c>
      <c r="M214" s="13">
        <v>9627</v>
      </c>
      <c r="N214" s="13">
        <v>370</v>
      </c>
      <c r="O214" s="15"/>
      <c r="P214" s="6">
        <v>39888.000300925924</v>
      </c>
      <c r="Q214" s="17" t="s">
        <v>1051</v>
      </c>
      <c r="R214" s="18" t="s">
        <v>1052</v>
      </c>
      <c r="S214" s="11" t="s">
        <v>1053</v>
      </c>
      <c r="T214" s="12"/>
      <c r="U214" s="10" t="str">
        <f>HYPERLINK("https://pbs.twimg.com/profile_images/2716496227/ca8fbc9d092586acf56898f89e294bc9.jpeg","View")</f>
        <v>View</v>
      </c>
    </row>
    <row r="215" spans="1:21" ht="30.6">
      <c r="A215" s="6">
        <v>43427.601736111115</v>
      </c>
      <c r="B215" s="7" t="str">
        <f>HYPERLINK("https://twitter.com/ontibe","@ontibe")</f>
        <v>@ontibe</v>
      </c>
      <c r="C215" s="8" t="s">
        <v>1057</v>
      </c>
      <c r="D215" s="9" t="s">
        <v>332</v>
      </c>
      <c r="E215" s="10" t="str">
        <f>HYPERLINK("https://twitter.com/ontibe/status/1065959778319548416","1065959778319548416")</f>
        <v>1065959778319548416</v>
      </c>
      <c r="F215" s="11" t="s">
        <v>330</v>
      </c>
      <c r="G215" s="12"/>
      <c r="H215" s="12"/>
      <c r="I215" s="13">
        <v>0</v>
      </c>
      <c r="J215" s="13">
        <v>0</v>
      </c>
      <c r="K215" s="14" t="str">
        <f>HYPERLINK("http://twitter.com","Twitter Web Client")</f>
        <v>Twitter Web Client</v>
      </c>
      <c r="L215" s="13">
        <v>432</v>
      </c>
      <c r="M215" s="13">
        <v>1265</v>
      </c>
      <c r="N215" s="13">
        <v>1</v>
      </c>
      <c r="O215" s="15"/>
      <c r="P215" s="6">
        <v>40673.627766203703</v>
      </c>
      <c r="Q215" s="17" t="s">
        <v>1058</v>
      </c>
      <c r="R215" s="18" t="s">
        <v>1059</v>
      </c>
      <c r="S215" s="12"/>
      <c r="T215" s="12"/>
      <c r="U215" s="10" t="str">
        <f>HYPERLINK("https://pbs.twimg.com/profile_images/867069058037972993/9c2-Wrp7.jpg","View")</f>
        <v>View</v>
      </c>
    </row>
    <row r="216" spans="1:21" ht="20.399999999999999">
      <c r="A216" s="6">
        <v>43427.601516203707</v>
      </c>
      <c r="B216" s="7" t="str">
        <f>HYPERLINK("https://twitter.com/dr_cicalife","@dr_cicalife")</f>
        <v>@dr_cicalife</v>
      </c>
      <c r="C216" s="8" t="s">
        <v>1060</v>
      </c>
      <c r="D216" s="9" t="s">
        <v>463</v>
      </c>
      <c r="E216" s="10" t="str">
        <f>HYPERLINK("https://twitter.com/dr_cicalife/status/1065959700250992647","1065959700250992647")</f>
        <v>1065959700250992647</v>
      </c>
      <c r="F216" s="11" t="s">
        <v>809</v>
      </c>
      <c r="G216" s="12"/>
      <c r="H216" s="12"/>
      <c r="I216" s="13">
        <v>0</v>
      </c>
      <c r="J216" s="13">
        <v>0</v>
      </c>
      <c r="K216" s="14" t="str">
        <f t="shared" ref="K216:K218" si="29">HYPERLINK("https://ifttt.com","IFTTT")</f>
        <v>IFTTT</v>
      </c>
      <c r="L216" s="13">
        <v>472</v>
      </c>
      <c r="M216" s="13">
        <v>914</v>
      </c>
      <c r="N216" s="13">
        <v>35</v>
      </c>
      <c r="O216" s="15"/>
      <c r="P216" s="6">
        <v>41568.605347222227</v>
      </c>
      <c r="Q216" s="17" t="s">
        <v>1061</v>
      </c>
      <c r="R216" s="18" t="s">
        <v>1062</v>
      </c>
      <c r="S216" s="11" t="s">
        <v>1063</v>
      </c>
      <c r="T216" s="12"/>
      <c r="U216" s="10" t="str">
        <f>HYPERLINK("https://pbs.twimg.com/profile_images/773964552551690246/ZTVa9va7.jpg","View")</f>
        <v>View</v>
      </c>
    </row>
    <row r="217" spans="1:21" ht="51">
      <c r="A217" s="6">
        <v>43427.601377314815</v>
      </c>
      <c r="B217" s="7" t="str">
        <f>HYPERLINK("https://twitter.com/ferminflorida","@ferminflorida")</f>
        <v>@ferminflorida</v>
      </c>
      <c r="C217" s="8" t="s">
        <v>1064</v>
      </c>
      <c r="D217" s="9" t="s">
        <v>1065</v>
      </c>
      <c r="E217" s="10" t="str">
        <f>HYPERLINK("https://twitter.com/ferminflorida/status/1065959646819688448","1065959646819688448")</f>
        <v>1065959646819688448</v>
      </c>
      <c r="F217" s="11" t="s">
        <v>1066</v>
      </c>
      <c r="G217" s="11" t="s">
        <v>1067</v>
      </c>
      <c r="H217" s="12"/>
      <c r="I217" s="13">
        <v>0</v>
      </c>
      <c r="J217" s="13">
        <v>0</v>
      </c>
      <c r="K217" s="14" t="str">
        <f t="shared" si="29"/>
        <v>IFTTT</v>
      </c>
      <c r="L217" s="13">
        <v>2125</v>
      </c>
      <c r="M217" s="13">
        <v>2343</v>
      </c>
      <c r="N217" s="13">
        <v>23</v>
      </c>
      <c r="O217" s="15"/>
      <c r="P217" s="6">
        <v>40578.904918981483</v>
      </c>
      <c r="Q217" s="17" t="s">
        <v>1068</v>
      </c>
      <c r="R217" s="18" t="s">
        <v>1069</v>
      </c>
      <c r="S217" s="11" t="s">
        <v>1070</v>
      </c>
      <c r="T217" s="12"/>
      <c r="U217" s="10" t="str">
        <f>HYPERLINK("https://pbs.twimg.com/profile_images/968232665710080000/8NlNbT4F.jpg","View")</f>
        <v>View</v>
      </c>
    </row>
    <row r="218" spans="1:21" ht="51">
      <c r="A218" s="6">
        <v>43427.601331018523</v>
      </c>
      <c r="B218" s="7" t="str">
        <f>HYPERLINK("https://twitter.com/radioflorida","@radioflorida")</f>
        <v>@radioflorida</v>
      </c>
      <c r="C218" s="8" t="s">
        <v>1071</v>
      </c>
      <c r="D218" s="9" t="s">
        <v>1065</v>
      </c>
      <c r="E218" s="10" t="str">
        <f>HYPERLINK("https://twitter.com/radioflorida/status/1065959631900549120","1065959631900549120")</f>
        <v>1065959631900549120</v>
      </c>
      <c r="F218" s="11" t="s">
        <v>1066</v>
      </c>
      <c r="G218" s="11" t="s">
        <v>1072</v>
      </c>
      <c r="H218" s="12"/>
      <c r="I218" s="13">
        <v>0</v>
      </c>
      <c r="J218" s="13">
        <v>0</v>
      </c>
      <c r="K218" s="14" t="str">
        <f t="shared" si="29"/>
        <v>IFTTT</v>
      </c>
      <c r="L218" s="13">
        <v>2635</v>
      </c>
      <c r="M218" s="13">
        <v>1325</v>
      </c>
      <c r="N218" s="13">
        <v>90</v>
      </c>
      <c r="O218" s="15"/>
      <c r="P218" s="6">
        <v>40257.569178240738</v>
      </c>
      <c r="Q218" s="17" t="s">
        <v>1073</v>
      </c>
      <c r="R218" s="18" t="s">
        <v>1074</v>
      </c>
      <c r="S218" s="11" t="s">
        <v>1075</v>
      </c>
      <c r="T218" s="12"/>
      <c r="U218" s="10" t="str">
        <f>HYPERLINK("https://pbs.twimg.com/profile_images/857259466504290304/SMkm_OOC.jpg","View")</f>
        <v>View</v>
      </c>
    </row>
    <row r="219" spans="1:21" ht="20.399999999999999">
      <c r="A219" s="6">
        <v>43427.6012962963</v>
      </c>
      <c r="B219" s="7" t="str">
        <f>HYPERLINK("https://twitter.com/C55C","@C55C")</f>
        <v>@C55C</v>
      </c>
      <c r="C219" s="8" t="s">
        <v>1076</v>
      </c>
      <c r="D219" s="9" t="s">
        <v>1078</v>
      </c>
      <c r="E219" s="10" t="str">
        <f>HYPERLINK("https://twitter.com/C55C/status/1065959618277445632","1065959618277445632")</f>
        <v>1065959618277445632</v>
      </c>
      <c r="F219" s="12"/>
      <c r="G219" s="12"/>
      <c r="H219" s="12"/>
      <c r="I219" s="13">
        <v>0</v>
      </c>
      <c r="J219" s="13">
        <v>0</v>
      </c>
      <c r="K219" s="14" t="str">
        <f>HYPERLINK("http://twitter.com/download/iphone","Twitter for iPhone")</f>
        <v>Twitter for iPhone</v>
      </c>
      <c r="L219" s="13">
        <v>5123</v>
      </c>
      <c r="M219" s="13">
        <v>497</v>
      </c>
      <c r="N219" s="13">
        <v>113</v>
      </c>
      <c r="O219" s="15"/>
      <c r="P219" s="6">
        <v>40583.621620370366</v>
      </c>
      <c r="Q219" s="17" t="s">
        <v>1079</v>
      </c>
      <c r="R219" s="18" t="s">
        <v>1080</v>
      </c>
      <c r="S219" s="12"/>
      <c r="T219" s="12"/>
      <c r="U219" s="10" t="str">
        <f>HYPERLINK("https://pbs.twimg.com/profile_images/1240624527/simpsonscarC-5.jpg","View")</f>
        <v>View</v>
      </c>
    </row>
    <row r="220" spans="1:21" ht="30.6">
      <c r="A220" s="6">
        <v>43427.601168981477</v>
      </c>
      <c r="B220" s="7" t="str">
        <f>HYPERLINK("https://twitter.com/Noobstar10","@Noobstar10")</f>
        <v>@Noobstar10</v>
      </c>
      <c r="C220" s="8" t="s">
        <v>1081</v>
      </c>
      <c r="D220" s="9" t="s">
        <v>1082</v>
      </c>
      <c r="E220" s="10" t="str">
        <f>HYPERLINK("https://twitter.com/Noobstar10/status/1065959572593090560","1065959572593090560")</f>
        <v>1065959572593090560</v>
      </c>
      <c r="F220" s="11" t="s">
        <v>1083</v>
      </c>
      <c r="G220" s="12"/>
      <c r="H220" s="12"/>
      <c r="I220" s="13">
        <v>0</v>
      </c>
      <c r="J220" s="13">
        <v>0</v>
      </c>
      <c r="K220" s="14" t="str">
        <f t="shared" ref="K220:K221" si="30">HYPERLINK("http://twitter.com/download/android","Twitter for Android")</f>
        <v>Twitter for Android</v>
      </c>
      <c r="L220" s="13">
        <v>4</v>
      </c>
      <c r="M220" s="13">
        <v>27</v>
      </c>
      <c r="N220" s="13">
        <v>0</v>
      </c>
      <c r="O220" s="15"/>
      <c r="P220" s="6">
        <v>43425.595914351856</v>
      </c>
      <c r="Q220" s="17" t="s">
        <v>1084</v>
      </c>
      <c r="R220" s="18" t="s">
        <v>1085</v>
      </c>
      <c r="S220" s="12"/>
      <c r="T220" s="12"/>
      <c r="U220" s="16" t="s">
        <v>373</v>
      </c>
    </row>
    <row r="221" spans="1:21" ht="20.399999999999999">
      <c r="A221" s="6">
        <v>43427.600682870368</v>
      </c>
      <c r="B221" s="7" t="str">
        <f>HYPERLINK("https://twitter.com/AntGainos","@AntGainos")</f>
        <v>@AntGainos</v>
      </c>
      <c r="C221" s="8" t="s">
        <v>1086</v>
      </c>
      <c r="D221" s="9" t="s">
        <v>1087</v>
      </c>
      <c r="E221" s="10" t="str">
        <f>HYPERLINK("https://twitter.com/AntGainos/status/1065959398831546368","1065959398831546368")</f>
        <v>1065959398831546368</v>
      </c>
      <c r="F221" s="11" t="s">
        <v>1088</v>
      </c>
      <c r="G221" s="12"/>
      <c r="H221" s="12"/>
      <c r="I221" s="13">
        <v>0</v>
      </c>
      <c r="J221" s="13">
        <v>0</v>
      </c>
      <c r="K221" s="14" t="str">
        <f t="shared" si="30"/>
        <v>Twitter for Android</v>
      </c>
      <c r="L221" s="13">
        <v>547</v>
      </c>
      <c r="M221" s="13">
        <v>553</v>
      </c>
      <c r="N221" s="13">
        <v>9</v>
      </c>
      <c r="O221" s="15"/>
      <c r="P221" s="6">
        <v>40643.846689814818</v>
      </c>
      <c r="Q221" s="17" t="s">
        <v>1089</v>
      </c>
      <c r="R221" s="19"/>
      <c r="S221" s="12"/>
      <c r="T221" s="12"/>
      <c r="U221" s="10" t="str">
        <f>HYPERLINK("https://pbs.twimg.com/profile_images/1034402549011542016/iBP_Fz3r.jpg","View")</f>
        <v>View</v>
      </c>
    </row>
    <row r="222" spans="1:21" ht="30.6">
      <c r="A222" s="6">
        <v>43427.600277777776</v>
      </c>
      <c r="B222" s="7" t="str">
        <f>HYPERLINK("https://twitter.com/CANELATV","@CANELATV")</f>
        <v>@CANELATV</v>
      </c>
      <c r="C222" s="8" t="s">
        <v>1090</v>
      </c>
      <c r="D222" s="9" t="s">
        <v>594</v>
      </c>
      <c r="E222" s="10" t="str">
        <f>HYPERLINK("https://twitter.com/CANELATV/status/1065959248436301824","1065959248436301824")</f>
        <v>1065959248436301824</v>
      </c>
      <c r="F222" s="11" t="s">
        <v>1091</v>
      </c>
      <c r="G222" s="12"/>
      <c r="H222" s="12"/>
      <c r="I222" s="13">
        <v>0</v>
      </c>
      <c r="J222" s="13">
        <v>0</v>
      </c>
      <c r="K222" s="14" t="str">
        <f>HYPERLINK("http://twitter.com","Twitter Web Client")</f>
        <v>Twitter Web Client</v>
      </c>
      <c r="L222" s="13">
        <v>38980</v>
      </c>
      <c r="M222" s="13">
        <v>6</v>
      </c>
      <c r="N222" s="13">
        <v>50</v>
      </c>
      <c r="O222" s="15"/>
      <c r="P222" s="6">
        <v>41820.179768518516</v>
      </c>
      <c r="Q222" s="12"/>
      <c r="R222" s="18" t="s">
        <v>1092</v>
      </c>
      <c r="S222" s="11" t="s">
        <v>1093</v>
      </c>
      <c r="T222" s="12"/>
      <c r="U222" s="10" t="str">
        <f>HYPERLINK("https://pbs.twimg.com/profile_images/1047132789617889280/5z7LHnkv.jpg","View")</f>
        <v>View</v>
      </c>
    </row>
    <row r="223" spans="1:21" ht="40.799999999999997">
      <c r="A223" s="6">
        <v>43427.599849537037</v>
      </c>
      <c r="B223" s="7" t="str">
        <f>HYPERLINK("https://twitter.com/Cesc1934","@Cesc1934")</f>
        <v>@Cesc1934</v>
      </c>
      <c r="C223" s="8" t="s">
        <v>1094</v>
      </c>
      <c r="D223" s="9" t="s">
        <v>1095</v>
      </c>
      <c r="E223" s="10" t="str">
        <f>HYPERLINK("https://twitter.com/Cesc1934/status/1065959095356792838","1065959095356792838")</f>
        <v>1065959095356792838</v>
      </c>
      <c r="F223" s="11" t="s">
        <v>1088</v>
      </c>
      <c r="G223" s="12"/>
      <c r="H223" s="12"/>
      <c r="I223" s="13">
        <v>1</v>
      </c>
      <c r="J223" s="13">
        <v>1</v>
      </c>
      <c r="K223" s="14" t="str">
        <f>HYPERLINK("http://twitter.com/download/iphone","Twitter for iPhone")</f>
        <v>Twitter for iPhone</v>
      </c>
      <c r="L223" s="13">
        <v>1302</v>
      </c>
      <c r="M223" s="13">
        <v>2288</v>
      </c>
      <c r="N223" s="13">
        <v>18</v>
      </c>
      <c r="O223" s="15"/>
      <c r="P223" s="6">
        <v>40726.605046296296</v>
      </c>
      <c r="Q223" s="17" t="s">
        <v>1096</v>
      </c>
      <c r="R223" s="18" t="s">
        <v>1097</v>
      </c>
      <c r="S223" s="12"/>
      <c r="T223" s="12"/>
      <c r="U223" s="10" t="str">
        <f>HYPERLINK("https://pbs.twimg.com/profile_images/945214410905346048/tLJiszEo.jpg","View")</f>
        <v>View</v>
      </c>
    </row>
    <row r="224" spans="1:21" ht="51">
      <c r="A224" s="6">
        <v>43427.599189814813</v>
      </c>
      <c r="B224" s="7" t="str">
        <f>HYPERLINK("https://twitter.com/carlespastor","@carlespastor")</f>
        <v>@carlespastor</v>
      </c>
      <c r="C224" s="8" t="s">
        <v>1098</v>
      </c>
      <c r="D224" s="9" t="s">
        <v>1099</v>
      </c>
      <c r="E224" s="10" t="str">
        <f>HYPERLINK("https://twitter.com/carlespastor/status/1065958856667398145","1065958856667398145")</f>
        <v>1065958856667398145</v>
      </c>
      <c r="F224" s="11" t="s">
        <v>1100</v>
      </c>
      <c r="G224" s="12"/>
      <c r="H224" s="12"/>
      <c r="I224" s="13">
        <v>0</v>
      </c>
      <c r="J224" s="13">
        <v>0</v>
      </c>
      <c r="K224" s="14" t="str">
        <f>HYPERLINK("http://twitter.com/#!/download/ipad","Twitter for iPad")</f>
        <v>Twitter for iPad</v>
      </c>
      <c r="L224" s="13">
        <v>8035</v>
      </c>
      <c r="M224" s="13">
        <v>7618</v>
      </c>
      <c r="N224" s="13">
        <v>82</v>
      </c>
      <c r="O224" s="15"/>
      <c r="P224" s="6">
        <v>40078.539143518516</v>
      </c>
      <c r="Q224" s="17" t="s">
        <v>1101</v>
      </c>
      <c r="R224" s="18" t="s">
        <v>1102</v>
      </c>
      <c r="S224" s="11" t="s">
        <v>1103</v>
      </c>
      <c r="T224" s="12"/>
      <c r="U224" s="10" t="str">
        <f>HYPERLINK("https://pbs.twimg.com/profile_images/974682861063360512/BxPAgqMX.jpg","View")</f>
        <v>View</v>
      </c>
    </row>
    <row r="225" spans="1:21" ht="40.799999999999997">
      <c r="A225" s="6">
        <v>43427.598877314813</v>
      </c>
      <c r="B225" s="7" t="str">
        <f t="shared" ref="B225:B226" si="31">HYPERLINK("https://twitter.com/lenrique64","@lenrique64")</f>
        <v>@lenrique64</v>
      </c>
      <c r="C225" s="8" t="s">
        <v>1104</v>
      </c>
      <c r="D225" s="9" t="s">
        <v>1105</v>
      </c>
      <c r="E225" s="10" t="str">
        <f>HYPERLINK("https://twitter.com/lenrique64/status/1065958744754933761","1065958744754933761")</f>
        <v>1065958744754933761</v>
      </c>
      <c r="F225" s="11" t="s">
        <v>1106</v>
      </c>
      <c r="G225" s="11" t="s">
        <v>1107</v>
      </c>
      <c r="H225" s="12"/>
      <c r="I225" s="13">
        <v>9</v>
      </c>
      <c r="J225" s="13">
        <v>8</v>
      </c>
      <c r="K225" s="14" t="str">
        <f>HYPERLINK("http://twitter.com","Twitter Web Client")</f>
        <v>Twitter Web Client</v>
      </c>
      <c r="L225" s="13">
        <v>203</v>
      </c>
      <c r="M225" s="13">
        <v>270</v>
      </c>
      <c r="N225" s="13">
        <v>13</v>
      </c>
      <c r="O225" s="15"/>
      <c r="P225" s="6">
        <v>40340.710335648146</v>
      </c>
      <c r="Q225" s="12"/>
      <c r="R225" s="19"/>
      <c r="S225" s="12"/>
      <c r="T225" s="12"/>
      <c r="U225" s="10" t="str">
        <f t="shared" ref="U225:U226" si="32">HYPERLINK("https://pbs.twimg.com/profile_images/811222160723222530/E1Y49Rvi.jpg","View")</f>
        <v>View</v>
      </c>
    </row>
    <row r="226" spans="1:21" ht="20.399999999999999">
      <c r="A226" s="6">
        <v>43427.598229166666</v>
      </c>
      <c r="B226" s="7" t="str">
        <f t="shared" si="31"/>
        <v>@lenrique64</v>
      </c>
      <c r="C226" s="8" t="s">
        <v>1104</v>
      </c>
      <c r="D226" s="9" t="s">
        <v>1108</v>
      </c>
      <c r="E226" s="10" t="str">
        <f>HYPERLINK("https://twitter.com/lenrique64/status/1065958506828898305","1065958506828898305")</f>
        <v>1065958506828898305</v>
      </c>
      <c r="F226" s="11" t="s">
        <v>1106</v>
      </c>
      <c r="G226" s="12"/>
      <c r="H226" s="12"/>
      <c r="I226" s="13">
        <v>0</v>
      </c>
      <c r="J226" s="13">
        <v>0</v>
      </c>
      <c r="K226" s="14" t="str">
        <f>HYPERLINK("http://www.facebook.com/twitter","Facebook")</f>
        <v>Facebook</v>
      </c>
      <c r="L226" s="13">
        <v>203</v>
      </c>
      <c r="M226" s="13">
        <v>270</v>
      </c>
      <c r="N226" s="13">
        <v>13</v>
      </c>
      <c r="O226" s="15"/>
      <c r="P226" s="6">
        <v>40340.710335648146</v>
      </c>
      <c r="Q226" s="12"/>
      <c r="R226" s="19"/>
      <c r="S226" s="12"/>
      <c r="T226" s="12"/>
      <c r="U226" s="10" t="str">
        <f t="shared" si="32"/>
        <v>View</v>
      </c>
    </row>
    <row r="227" spans="1:21" ht="30.6">
      <c r="A227" s="6">
        <v>43427.597962962958</v>
      </c>
      <c r="B227" s="7" t="str">
        <f>HYPERLINK("https://twitter.com/iescolar","@iescolar")</f>
        <v>@iescolar</v>
      </c>
      <c r="C227" s="8" t="s">
        <v>1109</v>
      </c>
      <c r="D227" s="9" t="s">
        <v>1110</v>
      </c>
      <c r="E227" s="10" t="str">
        <f>HYPERLINK("https://twitter.com/iescolar/status/1065958411676860417","1065958411676860417")</f>
        <v>1065958411676860417</v>
      </c>
      <c r="F227" s="11" t="s">
        <v>975</v>
      </c>
      <c r="G227" s="12"/>
      <c r="H227" s="12"/>
      <c r="I227" s="13">
        <v>20</v>
      </c>
      <c r="J227" s="13">
        <v>24</v>
      </c>
      <c r="K227" s="14" t="str">
        <f t="shared" ref="K227:K228" si="33">HYPERLINK("http://twitter.com","Twitter Web Client")</f>
        <v>Twitter Web Client</v>
      </c>
      <c r="L227" s="13">
        <v>903281</v>
      </c>
      <c r="M227" s="13">
        <v>5425</v>
      </c>
      <c r="N227" s="13">
        <v>11976</v>
      </c>
      <c r="O227" s="16" t="s">
        <v>26</v>
      </c>
      <c r="P227" s="6">
        <v>39556.875960648147</v>
      </c>
      <c r="Q227" s="17" t="s">
        <v>1111</v>
      </c>
      <c r="R227" s="18" t="s">
        <v>1112</v>
      </c>
      <c r="S227" s="11" t="s">
        <v>1113</v>
      </c>
      <c r="T227" s="12"/>
      <c r="U227" s="10" t="str">
        <f>HYPERLINK("https://pbs.twimg.com/profile_images/970684993231097856/30L3bCoG.jpg","View")</f>
        <v>View</v>
      </c>
    </row>
    <row r="228" spans="1:21" ht="20.399999999999999">
      <c r="A228" s="6">
        <v>43427.597881944443</v>
      </c>
      <c r="B228" s="7" t="str">
        <f>HYPERLINK("https://twitter.com/LSANGAR","@LSANGAR")</f>
        <v>@LSANGAR</v>
      </c>
      <c r="C228" s="8" t="s">
        <v>1114</v>
      </c>
      <c r="D228" s="9" t="s">
        <v>1115</v>
      </c>
      <c r="E228" s="10" t="str">
        <f>HYPERLINK("https://twitter.com/LSANGAR/status/1065958381079470080","1065958381079470080")</f>
        <v>1065958381079470080</v>
      </c>
      <c r="F228" s="11" t="s">
        <v>1116</v>
      </c>
      <c r="G228" s="12"/>
      <c r="H228" s="12"/>
      <c r="I228" s="13">
        <v>0</v>
      </c>
      <c r="J228" s="13">
        <v>0</v>
      </c>
      <c r="K228" s="14" t="str">
        <f t="shared" si="33"/>
        <v>Twitter Web Client</v>
      </c>
      <c r="L228" s="13">
        <v>181</v>
      </c>
      <c r="M228" s="13">
        <v>214</v>
      </c>
      <c r="N228" s="13">
        <v>8</v>
      </c>
      <c r="O228" s="15"/>
      <c r="P228" s="6">
        <v>40266.668449074074</v>
      </c>
      <c r="Q228" s="12"/>
      <c r="R228" s="21" t="s">
        <v>1117</v>
      </c>
      <c r="S228" s="11" t="s">
        <v>1118</v>
      </c>
      <c r="T228" s="12"/>
      <c r="U228" s="10" t="str">
        <f>HYPERLINK("https://pbs.twimg.com/profile_images/1055792344652496901/RULACfSd.jpg","View")</f>
        <v>View</v>
      </c>
    </row>
    <row r="229" spans="1:21" ht="40.799999999999997">
      <c r="A229" s="6">
        <v>43427.597511574073</v>
      </c>
      <c r="B229" s="7" t="str">
        <f>HYPERLINK("https://twitter.com/Ismaelescuincs","@Ismaelescuincs")</f>
        <v>@Ismaelescuincs</v>
      </c>
      <c r="C229" s="8" t="s">
        <v>902</v>
      </c>
      <c r="D229" s="9" t="s">
        <v>1119</v>
      </c>
      <c r="E229" s="10" t="str">
        <f>HYPERLINK("https://twitter.com/Ismaelescuincs/status/1065958246479998976","1065958246479998976")</f>
        <v>1065958246479998976</v>
      </c>
      <c r="F229" s="12"/>
      <c r="G229" s="11" t="s">
        <v>1120</v>
      </c>
      <c r="H229" s="12"/>
      <c r="I229" s="13">
        <v>5</v>
      </c>
      <c r="J229" s="13">
        <v>3</v>
      </c>
      <c r="K229" s="14" t="str">
        <f>HYPERLINK("http://twitter.com/download/iphone","Twitter for iPhone")</f>
        <v>Twitter for iPhone</v>
      </c>
      <c r="L229" s="13">
        <v>1095</v>
      </c>
      <c r="M229" s="13">
        <v>1152</v>
      </c>
      <c r="N229" s="13">
        <v>1</v>
      </c>
      <c r="O229" s="15"/>
      <c r="P229" s="6">
        <v>43085.040821759263</v>
      </c>
      <c r="Q229" s="17" t="s">
        <v>905</v>
      </c>
      <c r="R229" s="18" t="s">
        <v>906</v>
      </c>
      <c r="S229" s="11" t="s">
        <v>907</v>
      </c>
      <c r="T229" s="12"/>
      <c r="U229" s="10" t="str">
        <f>HYPERLINK("https://pbs.twimg.com/profile_images/1041730517530492928/JLvy_OFv.jpg","View")</f>
        <v>View</v>
      </c>
    </row>
    <row r="230" spans="1:21" ht="40.799999999999997">
      <c r="A230" s="6">
        <v>43427.597407407404</v>
      </c>
      <c r="B230" s="7" t="str">
        <f>HYPERLINK("https://twitter.com/jaimeabuiza","@jaimeabuiza")</f>
        <v>@jaimeabuiza</v>
      </c>
      <c r="C230" s="8" t="s">
        <v>1123</v>
      </c>
      <c r="D230" s="9" t="s">
        <v>1124</v>
      </c>
      <c r="E230" s="10" t="str">
        <f>HYPERLINK("https://twitter.com/jaimeabuiza/status/1065958208915808256","1065958208915808256")</f>
        <v>1065958208915808256</v>
      </c>
      <c r="F230" s="12"/>
      <c r="G230" s="12"/>
      <c r="H230" s="12"/>
      <c r="I230" s="13">
        <v>0</v>
      </c>
      <c r="J230" s="13">
        <v>1</v>
      </c>
      <c r="K230" s="14" t="str">
        <f>HYPERLINK("http://twitter.com","Twitter Web Client")</f>
        <v>Twitter Web Client</v>
      </c>
      <c r="L230" s="13">
        <v>256</v>
      </c>
      <c r="M230" s="13">
        <v>63</v>
      </c>
      <c r="N230" s="13">
        <v>9</v>
      </c>
      <c r="O230" s="15"/>
      <c r="P230" s="6">
        <v>41084.618981481479</v>
      </c>
      <c r="Q230" s="17" t="s">
        <v>1125</v>
      </c>
      <c r="R230" s="18" t="s">
        <v>1126</v>
      </c>
      <c r="S230" s="11" t="s">
        <v>1127</v>
      </c>
      <c r="T230" s="12"/>
      <c r="U230" s="10" t="str">
        <f>HYPERLINK("https://pbs.twimg.com/profile_images/2336498049/cd3ip43heevskicmtw7d.jpeg","View")</f>
        <v>View</v>
      </c>
    </row>
    <row r="231" spans="1:21" ht="30.6">
      <c r="A231" s="6">
        <v>43427.597199074073</v>
      </c>
      <c r="B231" s="7" t="str">
        <f>HYPERLINK("https://twitter.com/eldiarioes","@eldiarioes")</f>
        <v>@eldiarioes</v>
      </c>
      <c r="C231" s="20" t="s">
        <v>1128</v>
      </c>
      <c r="D231" s="9" t="s">
        <v>1129</v>
      </c>
      <c r="E231" s="10" t="str">
        <f>HYPERLINK("https://twitter.com/eldiarioes/status/1065958136283041794","1065958136283041794")</f>
        <v>1065958136283041794</v>
      </c>
      <c r="F231" s="11" t="s">
        <v>975</v>
      </c>
      <c r="G231" s="11" t="s">
        <v>1130</v>
      </c>
      <c r="H231" s="12"/>
      <c r="I231" s="13">
        <v>13</v>
      </c>
      <c r="J231" s="13">
        <v>14</v>
      </c>
      <c r="K231" s="14" t="str">
        <f>HYPERLINK("https://about.twitter.com/products/tweetdeck","TweetDeck")</f>
        <v>TweetDeck</v>
      </c>
      <c r="L231" s="13">
        <v>936617</v>
      </c>
      <c r="M231" s="13">
        <v>456</v>
      </c>
      <c r="N231" s="13">
        <v>11237</v>
      </c>
      <c r="O231" s="16" t="s">
        <v>26</v>
      </c>
      <c r="P231" s="6">
        <v>40992.839189814811</v>
      </c>
      <c r="Q231" s="12"/>
      <c r="R231" s="18" t="s">
        <v>1131</v>
      </c>
      <c r="S231" s="11" t="s">
        <v>1113</v>
      </c>
      <c r="T231" s="12"/>
      <c r="U231" s="10" t="str">
        <f>HYPERLINK("https://pbs.twimg.com/profile_images/1016600645292511232/eYIkIK2s.jpg","View")</f>
        <v>View</v>
      </c>
    </row>
    <row r="232" spans="1:21" ht="40.799999999999997">
      <c r="A232" s="6">
        <v>43427.597199074073</v>
      </c>
      <c r="B232" s="7" t="str">
        <f>HYPERLINK("https://twitter.com/ADN_CristianoV","@ADN_CristianoV")</f>
        <v>@ADN_CristianoV</v>
      </c>
      <c r="C232" s="8" t="s">
        <v>1132</v>
      </c>
      <c r="D232" s="9" t="s">
        <v>1133</v>
      </c>
      <c r="E232" s="10" t="str">
        <f>HYPERLINK("https://twitter.com/ADN_CristianoV/status/1065958135964291072","1065958135964291072")</f>
        <v>1065958135964291072</v>
      </c>
      <c r="F232" s="11" t="s">
        <v>1134</v>
      </c>
      <c r="G232" s="12"/>
      <c r="H232" s="12"/>
      <c r="I232" s="13">
        <v>0</v>
      </c>
      <c r="J232" s="13">
        <v>0</v>
      </c>
      <c r="K232" s="14" t="str">
        <f>HYPERLINK("http://twitter.com","Twitter Web Client")</f>
        <v>Twitter Web Client</v>
      </c>
      <c r="L232" s="13">
        <v>4065</v>
      </c>
      <c r="M232" s="13">
        <v>5001</v>
      </c>
      <c r="N232" s="13">
        <v>111</v>
      </c>
      <c r="O232" s="15"/>
      <c r="P232" s="6">
        <v>40460.653414351851</v>
      </c>
      <c r="Q232" s="17" t="s">
        <v>1135</v>
      </c>
      <c r="R232" s="18" t="s">
        <v>1136</v>
      </c>
      <c r="S232" s="12"/>
      <c r="T232" s="12"/>
      <c r="U232" s="10" t="str">
        <f>HYPERLINK("https://pbs.twimg.com/profile_images/941768928472248320/pnoNV_-w.jpg","View")</f>
        <v>View</v>
      </c>
    </row>
    <row r="233" spans="1:21" ht="20.399999999999999">
      <c r="A233" s="6">
        <v>43427.596678240741</v>
      </c>
      <c r="B233" s="7" t="str">
        <f>HYPERLINK("https://twitter.com/NacionalAlerta","@NacionalAlerta")</f>
        <v>@NacionalAlerta</v>
      </c>
      <c r="C233" s="8" t="s">
        <v>1137</v>
      </c>
      <c r="D233" s="9" t="s">
        <v>1138</v>
      </c>
      <c r="E233" s="10" t="str">
        <f>HYPERLINK("https://twitter.com/NacionalAlerta/status/1065957947832975360","1065957947832975360")</f>
        <v>1065957947832975360</v>
      </c>
      <c r="F233" s="11" t="s">
        <v>1139</v>
      </c>
      <c r="G233" s="11" t="s">
        <v>1140</v>
      </c>
      <c r="H233" s="12"/>
      <c r="I233" s="13">
        <v>0</v>
      </c>
      <c r="J233" s="13">
        <v>0</v>
      </c>
      <c r="K233" s="14" t="str">
        <f>HYPERLINK("http://publicize.wp.com/","WordPress.com")</f>
        <v>WordPress.com</v>
      </c>
      <c r="L233" s="13">
        <v>68</v>
      </c>
      <c r="M233" s="13">
        <v>27</v>
      </c>
      <c r="N233" s="13">
        <v>2</v>
      </c>
      <c r="O233" s="15"/>
      <c r="P233" s="6">
        <v>43361.719618055555</v>
      </c>
      <c r="Q233" s="17" t="s">
        <v>28</v>
      </c>
      <c r="R233" s="19"/>
      <c r="S233" s="11" t="s">
        <v>1141</v>
      </c>
      <c r="T233" s="12"/>
      <c r="U233" s="10" t="str">
        <f>HYPERLINK("https://pbs.twimg.com/profile_images/1042072480435847169/mB0J8NN0.jpg","View")</f>
        <v>View</v>
      </c>
    </row>
    <row r="234" spans="1:21" ht="20.399999999999999">
      <c r="A234" s="6">
        <v>43427.596053240741</v>
      </c>
      <c r="B234" s="7" t="str">
        <f>HYPERLINK("https://twitter.com/MRosaDezaSierra","@MRosaDezaSierra")</f>
        <v>@MRosaDezaSierra</v>
      </c>
      <c r="C234" s="8" t="s">
        <v>1142</v>
      </c>
      <c r="D234" s="9" t="s">
        <v>1143</v>
      </c>
      <c r="E234" s="10" t="str">
        <f>HYPERLINK("https://twitter.com/MRosaDezaSierra/status/1065957721105735680","1065957721105735680")</f>
        <v>1065957721105735680</v>
      </c>
      <c r="F234" s="11" t="s">
        <v>1144</v>
      </c>
      <c r="G234" s="12"/>
      <c r="H234" s="12"/>
      <c r="I234" s="13">
        <v>0</v>
      </c>
      <c r="J234" s="13">
        <v>0</v>
      </c>
      <c r="K234" s="14" t="str">
        <f>HYPERLINK("http://www.facebook.com/twitter","Facebook")</f>
        <v>Facebook</v>
      </c>
      <c r="L234" s="13">
        <v>55</v>
      </c>
      <c r="M234" s="13">
        <v>313</v>
      </c>
      <c r="N234" s="13">
        <v>0</v>
      </c>
      <c r="O234" s="15"/>
      <c r="P234" s="6">
        <v>41709.466793981483</v>
      </c>
      <c r="Q234" s="17" t="s">
        <v>1146</v>
      </c>
      <c r="R234" s="19"/>
      <c r="S234" s="11" t="s">
        <v>1147</v>
      </c>
      <c r="T234" s="12"/>
      <c r="U234" s="10" t="str">
        <f>HYPERLINK("https://pbs.twimg.com/profile_images/467794262525227010/G1LObDui.jpeg","View")</f>
        <v>View</v>
      </c>
    </row>
    <row r="235" spans="1:21" ht="40.799999999999997">
      <c r="A235" s="6">
        <v>43427.595567129625</v>
      </c>
      <c r="B235" s="7" t="str">
        <f>HYPERLINK("https://twitter.com/desmarquedepor","@desmarquedepor")</f>
        <v>@desmarquedepor</v>
      </c>
      <c r="C235" s="8" t="s">
        <v>1148</v>
      </c>
      <c r="D235" s="9" t="s">
        <v>1149</v>
      </c>
      <c r="E235" s="10" t="str">
        <f>HYPERLINK("https://twitter.com/desmarquedepor/status/1065957541337796608","1065957541337796608")</f>
        <v>1065957541337796608</v>
      </c>
      <c r="F235" s="11" t="s">
        <v>1150</v>
      </c>
      <c r="G235" s="11" t="s">
        <v>1151</v>
      </c>
      <c r="H235" s="12"/>
      <c r="I235" s="13">
        <v>0</v>
      </c>
      <c r="J235" s="13">
        <v>0</v>
      </c>
      <c r="K235" s="14" t="str">
        <f>HYPERLINK("http://twitter.com/download/iphone","Twitter for iPhone")</f>
        <v>Twitter for iPhone</v>
      </c>
      <c r="L235" s="13">
        <v>3871</v>
      </c>
      <c r="M235" s="13">
        <v>325</v>
      </c>
      <c r="N235" s="13">
        <v>98</v>
      </c>
      <c r="O235" s="15"/>
      <c r="P235" s="6">
        <v>42301.794722222221</v>
      </c>
      <c r="Q235" s="17" t="s">
        <v>1122</v>
      </c>
      <c r="R235" s="18" t="s">
        <v>1152</v>
      </c>
      <c r="S235" s="11" t="s">
        <v>1153</v>
      </c>
      <c r="T235" s="12"/>
      <c r="U235" s="10" t="str">
        <f>HYPERLINK("https://pbs.twimg.com/profile_images/1007117938573312003/xpNnwlna.jpg","View")</f>
        <v>View</v>
      </c>
    </row>
    <row r="236" spans="1:21" ht="20.399999999999999">
      <c r="A236" s="6">
        <v>43427.595543981486</v>
      </c>
      <c r="B236" s="7" t="str">
        <f>HYPERLINK("https://twitter.com/lobezuno","@lobezuno")</f>
        <v>@lobezuno</v>
      </c>
      <c r="C236" s="8" t="s">
        <v>1155</v>
      </c>
      <c r="D236" s="9" t="s">
        <v>1156</v>
      </c>
      <c r="E236" s="10" t="str">
        <f>HYPERLINK("https://twitter.com/lobezuno/status/1065957535226781696","1065957535226781696")</f>
        <v>1065957535226781696</v>
      </c>
      <c r="F236" s="11" t="s">
        <v>556</v>
      </c>
      <c r="G236" s="12"/>
      <c r="H236" s="12"/>
      <c r="I236" s="13">
        <v>0</v>
      </c>
      <c r="J236" s="13">
        <v>0</v>
      </c>
      <c r="K236" s="14" t="str">
        <f>HYPERLINK("http://twitter.com","Twitter Web Client")</f>
        <v>Twitter Web Client</v>
      </c>
      <c r="L236" s="13">
        <v>855</v>
      </c>
      <c r="M236" s="13">
        <v>860</v>
      </c>
      <c r="N236" s="13">
        <v>5</v>
      </c>
      <c r="O236" s="15"/>
      <c r="P236" s="6">
        <v>41068.567488425928</v>
      </c>
      <c r="Q236" s="12"/>
      <c r="R236" s="19"/>
      <c r="S236" s="12"/>
      <c r="T236" s="12"/>
      <c r="U236" s="10" t="str">
        <f>HYPERLINK("https://pbs.twimg.com/profile_images/734397883466842112/gkESQr2d.jpg","View")</f>
        <v>View</v>
      </c>
    </row>
    <row r="237" spans="1:21" ht="40.799999999999997">
      <c r="A237" s="6">
        <v>43427.595266203702</v>
      </c>
      <c r="B237" s="7" t="str">
        <f>HYPERLINK("https://twitter.com/d47495ad6172414","@d47495ad6172414")</f>
        <v>@d47495ad6172414</v>
      </c>
      <c r="C237" s="8" t="s">
        <v>1159</v>
      </c>
      <c r="D237" s="9" t="s">
        <v>1160</v>
      </c>
      <c r="E237" s="10" t="str">
        <f>HYPERLINK("https://twitter.com/d47495ad6172414/status/1065957433296732162","1065957433296732162")</f>
        <v>1065957433296732162</v>
      </c>
      <c r="F237" s="12"/>
      <c r="G237" s="11" t="s">
        <v>1161</v>
      </c>
      <c r="H237" s="12"/>
      <c r="I237" s="13">
        <v>5</v>
      </c>
      <c r="J237" s="13">
        <v>2</v>
      </c>
      <c r="K237" s="14" t="str">
        <f>HYPERLINK("http://twitter.com/download/android","Twitter for Android")</f>
        <v>Twitter for Android</v>
      </c>
      <c r="L237" s="13">
        <v>2573</v>
      </c>
      <c r="M237" s="13">
        <v>5000</v>
      </c>
      <c r="N237" s="13">
        <v>115</v>
      </c>
      <c r="O237" s="15"/>
      <c r="P237" s="6">
        <v>41982.747789351852</v>
      </c>
      <c r="Q237" s="17" t="s">
        <v>1162</v>
      </c>
      <c r="R237" s="18" t="s">
        <v>1163</v>
      </c>
      <c r="S237" s="12"/>
      <c r="T237" s="12"/>
      <c r="U237" s="10" t="str">
        <f>HYPERLINK("https://pbs.twimg.com/profile_images/943467112139456512/T1-1jO76.jpg","View")</f>
        <v>View</v>
      </c>
    </row>
    <row r="238" spans="1:21" ht="51">
      <c r="A238" s="6">
        <v>43427.594780092593</v>
      </c>
      <c r="B238" s="7" t="str">
        <f>HYPERLINK("https://twitter.com/jcubgal","@jcubgal")</f>
        <v>@jcubgal</v>
      </c>
      <c r="C238" s="8" t="s">
        <v>793</v>
      </c>
      <c r="D238" s="9" t="s">
        <v>1164</v>
      </c>
      <c r="E238" s="10" t="str">
        <f>HYPERLINK("https://twitter.com/jcubgal/status/1065957259518316544","1065957259518316544")</f>
        <v>1065957259518316544</v>
      </c>
      <c r="F238" s="12"/>
      <c r="G238" s="12"/>
      <c r="H238" s="12"/>
      <c r="I238" s="13">
        <v>0</v>
      </c>
      <c r="J238" s="13">
        <v>0</v>
      </c>
      <c r="K238" s="14" t="str">
        <f>HYPERLINK("http://twitter.com","Twitter Web Client")</f>
        <v>Twitter Web Client</v>
      </c>
      <c r="L238" s="13">
        <v>1778</v>
      </c>
      <c r="M238" s="13">
        <v>1756</v>
      </c>
      <c r="N238" s="13">
        <v>13</v>
      </c>
      <c r="O238" s="15"/>
      <c r="P238" s="6">
        <v>40674.664629629631</v>
      </c>
      <c r="Q238" s="17" t="s">
        <v>141</v>
      </c>
      <c r="R238" s="18" t="s">
        <v>795</v>
      </c>
      <c r="S238" s="12"/>
      <c r="T238" s="12"/>
      <c r="U238" s="10" t="str">
        <f>HYPERLINK("https://pbs.twimg.com/profile_images/451398831586820096/A3pz4Cki.jpeg","View")</f>
        <v>View</v>
      </c>
    </row>
    <row r="239" spans="1:21" ht="20.399999999999999">
      <c r="A239" s="6">
        <v>43427.594456018516</v>
      </c>
      <c r="B239" s="7" t="str">
        <f>HYPERLINK("https://twitter.com/cronicaglobal","@cronicaglobal")</f>
        <v>@cronicaglobal</v>
      </c>
      <c r="C239" s="8" t="s">
        <v>1165</v>
      </c>
      <c r="D239" s="9" t="s">
        <v>1166</v>
      </c>
      <c r="E239" s="10" t="str">
        <f>HYPERLINK("https://twitter.com/cronicaglobal/status/1065957142354518017","1065957142354518017")</f>
        <v>1065957142354518017</v>
      </c>
      <c r="F239" s="11" t="s">
        <v>1167</v>
      </c>
      <c r="G239" s="12"/>
      <c r="H239" s="12"/>
      <c r="I239" s="13">
        <v>0</v>
      </c>
      <c r="J239" s="13">
        <v>0</v>
      </c>
      <c r="K239" s="14" t="str">
        <f>HYPERLINK("https://about.twitter.com/products/tweetdeck","TweetDeck")</f>
        <v>TweetDeck</v>
      </c>
      <c r="L239" s="13">
        <v>33622</v>
      </c>
      <c r="M239" s="13">
        <v>14011</v>
      </c>
      <c r="N239" s="13">
        <v>734</v>
      </c>
      <c r="O239" s="16" t="s">
        <v>26</v>
      </c>
      <c r="P239" s="6">
        <v>40095.536770833336</v>
      </c>
      <c r="Q239" s="17" t="s">
        <v>191</v>
      </c>
      <c r="R239" s="18" t="s">
        <v>1168</v>
      </c>
      <c r="S239" s="11" t="s">
        <v>1169</v>
      </c>
      <c r="T239" s="12"/>
      <c r="U239" s="10" t="str">
        <f>HYPERLINK("https://pbs.twimg.com/profile_images/950307027389165573/hJwYO6Bw.jpg","View")</f>
        <v>View</v>
      </c>
    </row>
    <row r="240" spans="1:21" ht="20.399999999999999">
      <c r="A240" s="6">
        <v>43427.594270833331</v>
      </c>
      <c r="B240" s="7" t="str">
        <f>HYPERLINK("https://twitter.com/Jorosa47","@Jorosa47")</f>
        <v>@Jorosa47</v>
      </c>
      <c r="C240" s="8" t="s">
        <v>1170</v>
      </c>
      <c r="D240" s="9" t="s">
        <v>1171</v>
      </c>
      <c r="E240" s="10" t="str">
        <f>HYPERLINK("https://twitter.com/Jorosa47/status/1065957072351752192","1065957072351752192")</f>
        <v>1065957072351752192</v>
      </c>
      <c r="F240" s="11" t="s">
        <v>1172</v>
      </c>
      <c r="G240" s="12"/>
      <c r="H240" s="12"/>
      <c r="I240" s="13">
        <v>0</v>
      </c>
      <c r="J240" s="13">
        <v>0</v>
      </c>
      <c r="K240" s="14" t="str">
        <f>HYPERLINK("http://twitter.com/download/android","Twitter for Android")</f>
        <v>Twitter for Android</v>
      </c>
      <c r="L240" s="13">
        <v>664</v>
      </c>
      <c r="M240" s="13">
        <v>663</v>
      </c>
      <c r="N240" s="13">
        <v>3</v>
      </c>
      <c r="O240" s="15"/>
      <c r="P240" s="6">
        <v>42433.491261574076</v>
      </c>
      <c r="Q240" s="12"/>
      <c r="R240" s="18" t="s">
        <v>1173</v>
      </c>
      <c r="S240" s="12"/>
      <c r="T240" s="12"/>
      <c r="U240" s="10" t="str">
        <f>HYPERLINK("https://pbs.twimg.com/profile_images/982553609811439616/3TISSh9b.jpg","View")</f>
        <v>View</v>
      </c>
    </row>
    <row r="241" spans="1:21" ht="51">
      <c r="A241" s="6">
        <v>43427.59269675926</v>
      </c>
      <c r="B241" s="7" t="str">
        <f>HYPERLINK("https://twitter.com/frcub","@frcub")</f>
        <v>@frcub</v>
      </c>
      <c r="C241" s="8" t="s">
        <v>1174</v>
      </c>
      <c r="D241" s="9" t="s">
        <v>1175</v>
      </c>
      <c r="E241" s="10" t="str">
        <f>HYPERLINK("https://twitter.com/frcub/status/1065956502245134336","1065956502245134336")</f>
        <v>1065956502245134336</v>
      </c>
      <c r="F241" s="11" t="s">
        <v>207</v>
      </c>
      <c r="G241" s="12"/>
      <c r="H241" s="12"/>
      <c r="I241" s="13">
        <v>0</v>
      </c>
      <c r="J241" s="13">
        <v>0</v>
      </c>
      <c r="K241" s="14" t="str">
        <f t="shared" ref="K241:K242" si="34">HYPERLINK("http://twitter.com/download/iphone","Twitter for iPhone")</f>
        <v>Twitter for iPhone</v>
      </c>
      <c r="L241" s="13">
        <v>5019</v>
      </c>
      <c r="M241" s="13">
        <v>3885</v>
      </c>
      <c r="N241" s="13">
        <v>58</v>
      </c>
      <c r="O241" s="15"/>
      <c r="P241" s="6">
        <v>40664.317858796298</v>
      </c>
      <c r="Q241" s="17" t="s">
        <v>28</v>
      </c>
      <c r="R241" s="18" t="s">
        <v>1176</v>
      </c>
      <c r="S241" s="12"/>
      <c r="T241" s="12"/>
      <c r="U241" s="10" t="str">
        <f>HYPERLINK("https://pbs.twimg.com/profile_images/1041719046293647360/7xigqmIy.jpg","View")</f>
        <v>View</v>
      </c>
    </row>
    <row r="242" spans="1:21" ht="40.799999999999997">
      <c r="A242" s="6">
        <v>43427.591620370367</v>
      </c>
      <c r="B242" s="7" t="str">
        <f>HYPERLINK("https://twitter.com/apicatoste","@apicatoste")</f>
        <v>@apicatoste</v>
      </c>
      <c r="C242" s="8" t="s">
        <v>1177</v>
      </c>
      <c r="D242" s="9" t="s">
        <v>1178</v>
      </c>
      <c r="E242" s="10" t="str">
        <f>HYPERLINK("https://twitter.com/apicatoste/status/1065956113076633600","1065956113076633600")</f>
        <v>1065956113076633600</v>
      </c>
      <c r="F242" s="12"/>
      <c r="G242" s="12"/>
      <c r="H242" s="12"/>
      <c r="I242" s="13">
        <v>0</v>
      </c>
      <c r="J242" s="13">
        <v>0</v>
      </c>
      <c r="K242" s="14" t="str">
        <f t="shared" si="34"/>
        <v>Twitter for iPhone</v>
      </c>
      <c r="L242" s="13">
        <v>2146</v>
      </c>
      <c r="M242" s="13">
        <v>1076</v>
      </c>
      <c r="N242" s="13">
        <v>86</v>
      </c>
      <c r="O242" s="15"/>
      <c r="P242" s="6">
        <v>40333.807083333333</v>
      </c>
      <c r="Q242" s="17" t="s">
        <v>1179</v>
      </c>
      <c r="R242" s="18" t="s">
        <v>1180</v>
      </c>
      <c r="S242" s="11" t="s">
        <v>1181</v>
      </c>
      <c r="T242" s="12"/>
      <c r="U242" s="10" t="str">
        <f>HYPERLINK("https://pbs.twimg.com/profile_images/1051167947820060673/lf0C5R1Z.jpg","View")</f>
        <v>View</v>
      </c>
    </row>
    <row r="243" spans="1:21" ht="51">
      <c r="A243" s="6">
        <v>43427.591064814813</v>
      </c>
      <c r="B243" s="7" t="str">
        <f>HYPERLINK("https://twitter.com/noticiasgibral1","@noticiasgibral1")</f>
        <v>@noticiasgibral1</v>
      </c>
      <c r="C243" s="8" t="s">
        <v>1182</v>
      </c>
      <c r="D243" s="9" t="s">
        <v>1183</v>
      </c>
      <c r="E243" s="10" t="str">
        <f>HYPERLINK("https://twitter.com/noticiasgibral1/status/1065955911615811585","1065955911615811585")</f>
        <v>1065955911615811585</v>
      </c>
      <c r="F243" s="11" t="s">
        <v>1184</v>
      </c>
      <c r="G243" s="11" t="s">
        <v>1185</v>
      </c>
      <c r="H243" s="12"/>
      <c r="I243" s="13">
        <v>0</v>
      </c>
      <c r="J243" s="13">
        <v>0</v>
      </c>
      <c r="K243" s="14" t="str">
        <f>HYPERLINK("http://twitter.com","Twitter Web Client")</f>
        <v>Twitter Web Client</v>
      </c>
      <c r="L243" s="13">
        <v>113</v>
      </c>
      <c r="M243" s="13">
        <v>124</v>
      </c>
      <c r="N243" s="13">
        <v>3</v>
      </c>
      <c r="O243" s="15"/>
      <c r="P243" s="6">
        <v>42402.788171296299</v>
      </c>
      <c r="Q243" s="12"/>
      <c r="R243" s="19"/>
      <c r="S243" s="11" t="s">
        <v>1186</v>
      </c>
      <c r="T243" s="12"/>
      <c r="U243" s="10" t="str">
        <f>HYPERLINK("https://pbs.twimg.com/profile_images/840650616334614529/L434K6iW.jpg","View")</f>
        <v>View</v>
      </c>
    </row>
    <row r="244" spans="1:21" ht="40.799999999999997">
      <c r="A244" s="6">
        <v>43427.589421296296</v>
      </c>
      <c r="B244" s="7" t="str">
        <f>HYPERLINK("https://twitter.com/ssalvams","@ssalvams")</f>
        <v>@ssalvams</v>
      </c>
      <c r="C244" s="8" t="s">
        <v>1187</v>
      </c>
      <c r="D244" s="9" t="s">
        <v>1188</v>
      </c>
      <c r="E244" s="10" t="str">
        <f>HYPERLINK("https://twitter.com/ssalvams/status/1065955315462664193","1065955315462664193")</f>
        <v>1065955315462664193</v>
      </c>
      <c r="F244" s="12"/>
      <c r="G244" s="12"/>
      <c r="H244" s="12"/>
      <c r="I244" s="13">
        <v>0</v>
      </c>
      <c r="J244" s="13">
        <v>2</v>
      </c>
      <c r="K244" s="14" t="str">
        <f>HYPERLINK("http://twitter.com/download/iphone","Twitter for iPhone")</f>
        <v>Twitter for iPhone</v>
      </c>
      <c r="L244" s="13">
        <v>516</v>
      </c>
      <c r="M244" s="13">
        <v>766</v>
      </c>
      <c r="N244" s="13">
        <v>3</v>
      </c>
      <c r="O244" s="15"/>
      <c r="P244" s="6">
        <v>41205.071597222224</v>
      </c>
      <c r="Q244" s="17" t="s">
        <v>1189</v>
      </c>
      <c r="R244" s="18" t="s">
        <v>1190</v>
      </c>
      <c r="S244" s="12"/>
      <c r="T244" s="12"/>
      <c r="U244" s="10" t="str">
        <f>HYPERLINK("https://pbs.twimg.com/profile_images/1042203741393317890/ALv5OMAn.jpg","View")</f>
        <v>View</v>
      </c>
    </row>
    <row r="245" spans="1:21" ht="20.399999999999999">
      <c r="A245" s="6">
        <v>43427.588993055557</v>
      </c>
      <c r="B245" s="7" t="str">
        <f>HYPERLINK("https://twitter.com/LuisLeonardoV","@LuisLeonardoV")</f>
        <v>@LuisLeonardoV</v>
      </c>
      <c r="C245" s="8" t="s">
        <v>1191</v>
      </c>
      <c r="D245" s="9" t="s">
        <v>1192</v>
      </c>
      <c r="E245" s="10" t="str">
        <f>HYPERLINK("https://twitter.com/LuisLeonardoV/status/1065955159610703877","1065955159610703877")</f>
        <v>1065955159610703877</v>
      </c>
      <c r="F245" s="11" t="s">
        <v>1193</v>
      </c>
      <c r="G245" s="12"/>
      <c r="H245" s="12"/>
      <c r="I245" s="13">
        <v>0</v>
      </c>
      <c r="J245" s="13">
        <v>0</v>
      </c>
      <c r="K245" s="14" t="str">
        <f>HYPERLINK("http://www.facebook.com/twitter","Facebook")</f>
        <v>Facebook</v>
      </c>
      <c r="L245" s="13">
        <v>87</v>
      </c>
      <c r="M245" s="13">
        <v>574</v>
      </c>
      <c r="N245" s="13">
        <v>0</v>
      </c>
      <c r="O245" s="15"/>
      <c r="P245" s="6">
        <v>40799.628391203703</v>
      </c>
      <c r="Q245" s="17" t="s">
        <v>1194</v>
      </c>
      <c r="R245" s="18" t="s">
        <v>1195</v>
      </c>
      <c r="S245" s="12"/>
      <c r="T245" s="12"/>
      <c r="U245" s="10" t="str">
        <f>HYPERLINK("https://pbs.twimg.com/profile_images/953603125646188544/vVgwuEZ6.jpg","View")</f>
        <v>View</v>
      </c>
    </row>
    <row r="246" spans="1:21" ht="51">
      <c r="A246" s="6">
        <v>43427.588877314818</v>
      </c>
      <c r="B246" s="7" t="str">
        <f>HYPERLINK("https://twitter.com/MariaTabarnia","@MariaTabarnia")</f>
        <v>@MariaTabarnia</v>
      </c>
      <c r="C246" s="8" t="s">
        <v>1196</v>
      </c>
      <c r="D246" s="9" t="s">
        <v>1197</v>
      </c>
      <c r="E246" s="10" t="str">
        <f>HYPERLINK("https://twitter.com/MariaTabarnia/status/1065955118019997698","1065955118019997698")</f>
        <v>1065955118019997698</v>
      </c>
      <c r="F246" s="11" t="s">
        <v>1198</v>
      </c>
      <c r="G246" s="12"/>
      <c r="H246" s="12"/>
      <c r="I246" s="13">
        <v>5</v>
      </c>
      <c r="J246" s="13">
        <v>13</v>
      </c>
      <c r="K246" s="14" t="str">
        <f>HYPERLINK("http://twitter.com/#!/download/ipad","Twitter for iPad")</f>
        <v>Twitter for iPad</v>
      </c>
      <c r="L246" s="13">
        <v>11498</v>
      </c>
      <c r="M246" s="13">
        <v>12430</v>
      </c>
      <c r="N246" s="13">
        <v>52</v>
      </c>
      <c r="O246" s="15"/>
      <c r="P246" s="6">
        <v>41424.855567129627</v>
      </c>
      <c r="Q246" s="17" t="s">
        <v>1199</v>
      </c>
      <c r="R246" s="18" t="s">
        <v>1200</v>
      </c>
      <c r="S246" s="12"/>
      <c r="T246" s="12"/>
      <c r="U246" s="10" t="str">
        <f>HYPERLINK("https://pbs.twimg.com/profile_images/906661884199391232/L9xcUYsf.jpg","View")</f>
        <v>View</v>
      </c>
    </row>
    <row r="247" spans="1:21" ht="20.399999999999999">
      <c r="A247" s="6">
        <v>43427.588680555556</v>
      </c>
      <c r="B247" s="7" t="str">
        <f>HYPERLINK("https://twitter.com/edelvalle1","@edelvalle1")</f>
        <v>@edelvalle1</v>
      </c>
      <c r="C247" s="8" t="s">
        <v>1201</v>
      </c>
      <c r="D247" s="9" t="s">
        <v>83</v>
      </c>
      <c r="E247" s="10" t="str">
        <f>HYPERLINK("https://twitter.com/edelvalle1/status/1065955046003740673","1065955046003740673")</f>
        <v>1065955046003740673</v>
      </c>
      <c r="F247" s="11" t="s">
        <v>69</v>
      </c>
      <c r="G247" s="12"/>
      <c r="H247" s="12"/>
      <c r="I247" s="13">
        <v>0</v>
      </c>
      <c r="J247" s="13">
        <v>0</v>
      </c>
      <c r="K247" s="14" t="str">
        <f>HYPERLINK("http://twitter.com/download/android","Twitter for Android")</f>
        <v>Twitter for Android</v>
      </c>
      <c r="L247" s="13">
        <v>540</v>
      </c>
      <c r="M247" s="13">
        <v>1051</v>
      </c>
      <c r="N247" s="13">
        <v>4</v>
      </c>
      <c r="O247" s="15"/>
      <c r="P247" s="6">
        <v>40715.902997685189</v>
      </c>
      <c r="Q247" s="17" t="s">
        <v>1202</v>
      </c>
      <c r="R247" s="19"/>
      <c r="S247" s="12"/>
      <c r="T247" s="12"/>
      <c r="U247" s="10" t="str">
        <f>HYPERLINK("https://pbs.twimg.com/profile_images/997832179248979968/kMSfKfMe.jpg","View")</f>
        <v>View</v>
      </c>
    </row>
    <row r="248" spans="1:21" ht="51">
      <c r="A248" s="6">
        <v>43427.58792824074</v>
      </c>
      <c r="B248" s="7" t="str">
        <f>HYPERLINK("https://twitter.com/trabajadorescu","@trabajadorescu")</f>
        <v>@trabajadorescu</v>
      </c>
      <c r="C248" s="20" t="s">
        <v>1203</v>
      </c>
      <c r="D248" s="9" t="s">
        <v>1204</v>
      </c>
      <c r="E248" s="10" t="str">
        <f>HYPERLINK("https://twitter.com/trabajadorescu/status/1065954773755666433","1065954773755666433")</f>
        <v>1065954773755666433</v>
      </c>
      <c r="F248" s="11" t="s">
        <v>1205</v>
      </c>
      <c r="G248" s="12"/>
      <c r="H248" s="12"/>
      <c r="I248" s="13">
        <v>3</v>
      </c>
      <c r="J248" s="13">
        <v>5</v>
      </c>
      <c r="K248" s="14" t="str">
        <f>HYPERLINK("https://about.twitter.com/products/tweetdeck","TweetDeck")</f>
        <v>TweetDeck</v>
      </c>
      <c r="L248" s="13">
        <v>9838</v>
      </c>
      <c r="M248" s="13">
        <v>272</v>
      </c>
      <c r="N248" s="13">
        <v>151</v>
      </c>
      <c r="O248" s="15"/>
      <c r="P248" s="6">
        <v>40304.712233796294</v>
      </c>
      <c r="Q248" s="17" t="s">
        <v>52</v>
      </c>
      <c r="R248" s="18" t="s">
        <v>1206</v>
      </c>
      <c r="S248" s="11" t="s">
        <v>1207</v>
      </c>
      <c r="T248" s="12"/>
      <c r="U248" s="10" t="str">
        <f>HYPERLINK("https://pbs.twimg.com/profile_images/986694080213037056/J0pt8JjI.jpg","View")</f>
        <v>View</v>
      </c>
    </row>
    <row r="249" spans="1:21" ht="30.6">
      <c r="A249" s="6">
        <v>43427.587696759263</v>
      </c>
      <c r="B249" s="7" t="str">
        <f>HYPERLINK("https://twitter.com/FcoCP96","@FcoCP96")</f>
        <v>@FcoCP96</v>
      </c>
      <c r="C249" s="8" t="s">
        <v>1208</v>
      </c>
      <c r="D249" s="9" t="s">
        <v>1209</v>
      </c>
      <c r="E249" s="10" t="str">
        <f>HYPERLINK("https://twitter.com/FcoCP96/status/1065954691379617792","1065954691379617792")</f>
        <v>1065954691379617792</v>
      </c>
      <c r="F249" s="11" t="s">
        <v>1210</v>
      </c>
      <c r="G249" s="12"/>
      <c r="H249" s="12"/>
      <c r="I249" s="13">
        <v>0</v>
      </c>
      <c r="J249" s="13">
        <v>0</v>
      </c>
      <c r="K249" s="14" t="str">
        <f>HYPERLINK("http://twitter.com/download/android","Twitter for Android")</f>
        <v>Twitter for Android</v>
      </c>
      <c r="L249" s="13">
        <v>1330</v>
      </c>
      <c r="M249" s="13">
        <v>1219</v>
      </c>
      <c r="N249" s="13">
        <v>18</v>
      </c>
      <c r="O249" s="15"/>
      <c r="P249" s="6">
        <v>41118.667488425926</v>
      </c>
      <c r="Q249" s="17" t="s">
        <v>28</v>
      </c>
      <c r="R249" s="18" t="s">
        <v>1211</v>
      </c>
      <c r="S249" s="11" t="s">
        <v>1212</v>
      </c>
      <c r="T249" s="12"/>
      <c r="U249" s="10" t="str">
        <f>HYPERLINK("https://pbs.twimg.com/profile_images/1028983085998792704/b7-zq1X9.jpg","View")</f>
        <v>View</v>
      </c>
    </row>
    <row r="250" spans="1:21" ht="40.799999999999997">
      <c r="A250" s="6">
        <v>43427.587546296301</v>
      </c>
      <c r="B250" s="7" t="str">
        <f>HYPERLINK("https://twitter.com/MARIANHONT","@MARIANHONT")</f>
        <v>@MARIANHONT</v>
      </c>
      <c r="C250" s="8" t="s">
        <v>1213</v>
      </c>
      <c r="D250" s="9" t="s">
        <v>1214</v>
      </c>
      <c r="E250" s="10" t="str">
        <f>HYPERLINK("https://twitter.com/MARIANHONT/status/1065954637147185153","1065954637147185153")</f>
        <v>1065954637147185153</v>
      </c>
      <c r="F250" s="11" t="s">
        <v>310</v>
      </c>
      <c r="G250" s="12"/>
      <c r="H250" s="12"/>
      <c r="I250" s="13">
        <v>0</v>
      </c>
      <c r="J250" s="13">
        <v>0</v>
      </c>
      <c r="K250" s="14" t="str">
        <f>HYPERLINK("http://twitter.com","Twitter Web Client")</f>
        <v>Twitter Web Client</v>
      </c>
      <c r="L250" s="13">
        <v>7171</v>
      </c>
      <c r="M250" s="13">
        <v>6623</v>
      </c>
      <c r="N250" s="13">
        <v>18</v>
      </c>
      <c r="O250" s="15"/>
      <c r="P250" s="6">
        <v>41009.842106481483</v>
      </c>
      <c r="Q250" s="17" t="s">
        <v>202</v>
      </c>
      <c r="R250" s="18" t="s">
        <v>1215</v>
      </c>
      <c r="S250" s="12"/>
      <c r="T250" s="12"/>
      <c r="U250" s="10" t="str">
        <f>HYPERLINK("https://pbs.twimg.com/profile_images/836572311914446848/8xk08PSN.jpg","View")</f>
        <v>View</v>
      </c>
    </row>
    <row r="251" spans="1:21" ht="61.2">
      <c r="A251" s="6">
        <v>43427.586898148147</v>
      </c>
      <c r="B251" s="7" t="str">
        <f>HYPERLINK("https://twitter.com/Cs_LaVictoria","@Cs_LaVictoria")</f>
        <v>@Cs_LaVictoria</v>
      </c>
      <c r="C251" s="8" t="s">
        <v>1216</v>
      </c>
      <c r="D251" s="9" t="s">
        <v>1217</v>
      </c>
      <c r="E251" s="10" t="str">
        <f>HYPERLINK("https://twitter.com/Cs_LaVictoria/status/1065954401645469697","1065954401645469697")</f>
        <v>1065954401645469697</v>
      </c>
      <c r="F251" s="12"/>
      <c r="G251" s="11" t="s">
        <v>1218</v>
      </c>
      <c r="H251" s="12"/>
      <c r="I251" s="13">
        <v>0</v>
      </c>
      <c r="J251" s="13">
        <v>0</v>
      </c>
      <c r="K251" s="14" t="str">
        <f t="shared" ref="K251:K252" si="35">HYPERLINK("http://twitter.com/download/android","Twitter for Android")</f>
        <v>Twitter for Android</v>
      </c>
      <c r="L251" s="13">
        <v>52</v>
      </c>
      <c r="M251" s="13">
        <v>86</v>
      </c>
      <c r="N251" s="13">
        <v>1</v>
      </c>
      <c r="O251" s="15"/>
      <c r="P251" s="6">
        <v>43287.567500000005</v>
      </c>
      <c r="Q251" s="17" t="s">
        <v>1219</v>
      </c>
      <c r="R251" s="18" t="s">
        <v>1220</v>
      </c>
      <c r="S251" s="11" t="s">
        <v>1221</v>
      </c>
      <c r="T251" s="12"/>
      <c r="U251" s="10" t="str">
        <f>HYPERLINK("https://pbs.twimg.com/profile_images/1015199316150030337/FOUw2D8g.jpg","View")</f>
        <v>View</v>
      </c>
    </row>
    <row r="252" spans="1:21" ht="40.799999999999997">
      <c r="A252" s="6">
        <v>43427.586631944447</v>
      </c>
      <c r="B252" s="7" t="str">
        <f>HYPERLINK("https://twitter.com/sangirol","@sangirol")</f>
        <v>@sangirol</v>
      </c>
      <c r="C252" s="8" t="s">
        <v>1222</v>
      </c>
      <c r="D252" s="9" t="s">
        <v>1223</v>
      </c>
      <c r="E252" s="10" t="str">
        <f>HYPERLINK("https://twitter.com/sangirol/status/1065954304505323520","1065954304505323520")</f>
        <v>1065954304505323520</v>
      </c>
      <c r="F252" s="17" t="s">
        <v>1224</v>
      </c>
      <c r="G252" s="11" t="s">
        <v>1225</v>
      </c>
      <c r="H252" s="12"/>
      <c r="I252" s="13">
        <v>0</v>
      </c>
      <c r="J252" s="13">
        <v>0</v>
      </c>
      <c r="K252" s="14" t="str">
        <f t="shared" si="35"/>
        <v>Twitter for Android</v>
      </c>
      <c r="L252" s="13">
        <v>417</v>
      </c>
      <c r="M252" s="13">
        <v>768</v>
      </c>
      <c r="N252" s="13">
        <v>6</v>
      </c>
      <c r="O252" s="15"/>
      <c r="P252" s="6">
        <v>42352.932256944448</v>
      </c>
      <c r="Q252" s="17" t="s">
        <v>1226</v>
      </c>
      <c r="R252" s="18" t="s">
        <v>1227</v>
      </c>
      <c r="S252" s="12"/>
      <c r="T252" s="12"/>
      <c r="U252" s="10" t="str">
        <f>HYPERLINK("https://pbs.twimg.com/profile_images/676838085162848257/p-2BxZd2.jpg","View")</f>
        <v>View</v>
      </c>
    </row>
    <row r="253" spans="1:21" ht="61.2">
      <c r="A253" s="6">
        <v>43427.585879629631</v>
      </c>
      <c r="B253" s="7" t="str">
        <f t="shared" ref="B253:B254" si="36">HYPERLINK("https://twitter.com/estslatineibers","@estslatineibers")</f>
        <v>@estslatineibers</v>
      </c>
      <c r="C253" s="8" t="s">
        <v>1228</v>
      </c>
      <c r="D253" s="9" t="s">
        <v>1229</v>
      </c>
      <c r="E253" s="10" t="str">
        <f>HYPERLINK("https://twitter.com/estslatineibers/status/1065954032865501184","1065954032865501184")</f>
        <v>1065954032865501184</v>
      </c>
      <c r="F253" s="11" t="s">
        <v>1230</v>
      </c>
      <c r="G253" s="12"/>
      <c r="H253" s="12"/>
      <c r="I253" s="13">
        <v>0</v>
      </c>
      <c r="J253" s="13">
        <v>0</v>
      </c>
      <c r="K253" s="14" t="str">
        <f>HYPERLINK("http://twitter.com","Twitter Web Client")</f>
        <v>Twitter Web Client</v>
      </c>
      <c r="L253" s="13">
        <v>891</v>
      </c>
      <c r="M253" s="13">
        <v>1914</v>
      </c>
      <c r="N253" s="13">
        <v>40</v>
      </c>
      <c r="O253" s="15"/>
      <c r="P253" s="6">
        <v>40408.838055555556</v>
      </c>
      <c r="Q253" s="17" t="s">
        <v>1231</v>
      </c>
      <c r="R253" s="18" t="s">
        <v>1232</v>
      </c>
      <c r="S253" s="11" t="s">
        <v>1233</v>
      </c>
      <c r="T253" s="12"/>
      <c r="U253" s="10" t="str">
        <f t="shared" ref="U253:U254" si="37">HYPERLINK("https://pbs.twimg.com/profile_images/517276756219150336/-8eIRjgc.jpeg","View")</f>
        <v>View</v>
      </c>
    </row>
    <row r="254" spans="1:21" ht="30.6">
      <c r="A254" s="6">
        <v>43427.585509259261</v>
      </c>
      <c r="B254" s="7" t="str">
        <f t="shared" si="36"/>
        <v>@estslatineibers</v>
      </c>
      <c r="C254" s="8" t="s">
        <v>1228</v>
      </c>
      <c r="D254" s="9" t="s">
        <v>1234</v>
      </c>
      <c r="E254" s="10" t="str">
        <f>HYPERLINK("https://twitter.com/estslatineibers/status/1065953897615892480","1065953897615892480")</f>
        <v>1065953897615892480</v>
      </c>
      <c r="F254" s="11" t="s">
        <v>1230</v>
      </c>
      <c r="G254" s="12"/>
      <c r="H254" s="12"/>
      <c r="I254" s="13">
        <v>0</v>
      </c>
      <c r="J254" s="13">
        <v>0</v>
      </c>
      <c r="K254" s="14" t="str">
        <f>HYPERLINK("http://www.facebook.com/twitter","Facebook")</f>
        <v>Facebook</v>
      </c>
      <c r="L254" s="13">
        <v>891</v>
      </c>
      <c r="M254" s="13">
        <v>1914</v>
      </c>
      <c r="N254" s="13">
        <v>40</v>
      </c>
      <c r="O254" s="15"/>
      <c r="P254" s="6">
        <v>40408.838055555556</v>
      </c>
      <c r="Q254" s="17" t="s">
        <v>1231</v>
      </c>
      <c r="R254" s="18" t="s">
        <v>1232</v>
      </c>
      <c r="S254" s="11" t="s">
        <v>1233</v>
      </c>
      <c r="T254" s="12"/>
      <c r="U254" s="10" t="str">
        <f t="shared" si="37"/>
        <v>View</v>
      </c>
    </row>
    <row r="255" spans="1:21" ht="40.799999999999997">
      <c r="A255" s="6">
        <v>43427.584594907406</v>
      </c>
      <c r="B255" s="7" t="str">
        <f>HYPERLINK("https://twitter.com/MMayi","@MMayi")</f>
        <v>@MMayi</v>
      </c>
      <c r="C255" s="8" t="s">
        <v>1235</v>
      </c>
      <c r="D255" s="9" t="s">
        <v>1236</v>
      </c>
      <c r="E255" s="10" t="str">
        <f>HYPERLINK("https://twitter.com/MMayi/status/1065953567427764224","1065953567427764224")</f>
        <v>1065953567427764224</v>
      </c>
      <c r="F255" s="11" t="s">
        <v>1237</v>
      </c>
      <c r="G255" s="12"/>
      <c r="H255" s="12"/>
      <c r="I255" s="13">
        <v>0</v>
      </c>
      <c r="J255" s="13">
        <v>0</v>
      </c>
      <c r="K255" s="14" t="str">
        <f t="shared" ref="K255:K257" si="38">HYPERLINK("http://twitter.com","Twitter Web Client")</f>
        <v>Twitter Web Client</v>
      </c>
      <c r="L255" s="13">
        <v>2672</v>
      </c>
      <c r="M255" s="13">
        <v>1414</v>
      </c>
      <c r="N255" s="13">
        <v>51</v>
      </c>
      <c r="O255" s="15"/>
      <c r="P255" s="6">
        <v>40590.692187499997</v>
      </c>
      <c r="Q255" s="17" t="s">
        <v>72</v>
      </c>
      <c r="R255" s="18" t="s">
        <v>1238</v>
      </c>
      <c r="S255" s="12"/>
      <c r="T255" s="12"/>
      <c r="U255" s="10" t="str">
        <f>HYPERLINK("https://pbs.twimg.com/profile_images/949960998328336384/PJr28jlJ.jpg","View")</f>
        <v>View</v>
      </c>
    </row>
    <row r="256" spans="1:21" ht="30.6">
      <c r="A256" s="6">
        <v>43427.584189814814</v>
      </c>
      <c r="B256" s="7" t="str">
        <f>HYPERLINK("https://twitter.com/manupinon","@manupinon")</f>
        <v>@manupinon</v>
      </c>
      <c r="C256" s="8" t="s">
        <v>1239</v>
      </c>
      <c r="D256" s="9" t="s">
        <v>1240</v>
      </c>
      <c r="E256" s="10" t="str">
        <f>HYPERLINK("https://twitter.com/manupinon/status/1065953421621116929","1065953421621116929")</f>
        <v>1065953421621116929</v>
      </c>
      <c r="F256" s="11" t="s">
        <v>1241</v>
      </c>
      <c r="G256" s="12"/>
      <c r="H256" s="12"/>
      <c r="I256" s="13">
        <v>0</v>
      </c>
      <c r="J256" s="13">
        <v>0</v>
      </c>
      <c r="K256" s="14" t="str">
        <f t="shared" si="38"/>
        <v>Twitter Web Client</v>
      </c>
      <c r="L256" s="13">
        <v>2517</v>
      </c>
      <c r="M256" s="13">
        <v>2459</v>
      </c>
      <c r="N256" s="13">
        <v>68</v>
      </c>
      <c r="O256" s="15"/>
      <c r="P256" s="6">
        <v>40323.815682870372</v>
      </c>
      <c r="Q256" s="17" t="s">
        <v>72</v>
      </c>
      <c r="R256" s="18" t="s">
        <v>1242</v>
      </c>
      <c r="S256" s="12"/>
      <c r="T256" s="12"/>
      <c r="U256" s="10" t="str">
        <f>HYPERLINK("https://pbs.twimg.com/profile_images/987486624778014720/8m1Ln-0B.jpg","View")</f>
        <v>View</v>
      </c>
    </row>
    <row r="257" spans="1:21" ht="30.6">
      <c r="A257" s="6">
        <v>43427.584155092598</v>
      </c>
      <c r="B257" s="7" t="str">
        <f>HYPERLINK("https://twitter.com/ElAngelFacha","@ElAngelFacha")</f>
        <v>@ElAngelFacha</v>
      </c>
      <c r="C257" s="8" t="s">
        <v>1243</v>
      </c>
      <c r="D257" s="9" t="s">
        <v>1244</v>
      </c>
      <c r="E257" s="10" t="str">
        <f>HYPERLINK("https://twitter.com/ElAngelFacha/status/1065953409596096512","1065953409596096512")</f>
        <v>1065953409596096512</v>
      </c>
      <c r="F257" s="11" t="s">
        <v>1245</v>
      </c>
      <c r="G257" s="12"/>
      <c r="H257" s="12"/>
      <c r="I257" s="13">
        <v>5</v>
      </c>
      <c r="J257" s="13">
        <v>8</v>
      </c>
      <c r="K257" s="14" t="str">
        <f t="shared" si="38"/>
        <v>Twitter Web Client</v>
      </c>
      <c r="L257" s="13">
        <v>1109</v>
      </c>
      <c r="M257" s="13">
        <v>1522</v>
      </c>
      <c r="N257" s="13">
        <v>1</v>
      </c>
      <c r="O257" s="15"/>
      <c r="P257" s="6">
        <v>42923.928784722222</v>
      </c>
      <c r="Q257" s="17" t="s">
        <v>1246</v>
      </c>
      <c r="R257" s="18" t="s">
        <v>1247</v>
      </c>
      <c r="S257" s="12"/>
      <c r="T257" s="12"/>
      <c r="U257" s="10" t="str">
        <f>HYPERLINK("https://pbs.twimg.com/profile_images/1065214756913582080/fpMeP2qa.jpg","View")</f>
        <v>View</v>
      </c>
    </row>
    <row r="258" spans="1:21" ht="40.799999999999997">
      <c r="A258" s="6">
        <v>43427.584027777775</v>
      </c>
      <c r="B258" s="7" t="str">
        <f>HYPERLINK("https://twitter.com/forumlibertas","@forumlibertas")</f>
        <v>@forumlibertas</v>
      </c>
      <c r="C258" s="8" t="s">
        <v>1248</v>
      </c>
      <c r="D258" s="9" t="s">
        <v>1249</v>
      </c>
      <c r="E258" s="10" t="str">
        <f>HYPERLINK("https://twitter.com/forumlibertas/status/1065953361021743105","1065953361021743105")</f>
        <v>1065953361021743105</v>
      </c>
      <c r="F258" s="11" t="s">
        <v>1250</v>
      </c>
      <c r="G258" s="12"/>
      <c r="H258" s="12"/>
      <c r="I258" s="13">
        <v>1</v>
      </c>
      <c r="J258" s="13">
        <v>0</v>
      </c>
      <c r="K258" s="14" t="str">
        <f>HYPERLINK("https://about.twitter.com/products/tweetdeck","TweetDeck")</f>
        <v>TweetDeck</v>
      </c>
      <c r="L258" s="13">
        <v>2427</v>
      </c>
      <c r="M258" s="13">
        <v>697</v>
      </c>
      <c r="N258" s="13">
        <v>134</v>
      </c>
      <c r="O258" s="15"/>
      <c r="P258" s="6">
        <v>40316.480949074074</v>
      </c>
      <c r="Q258" s="17" t="s">
        <v>191</v>
      </c>
      <c r="R258" s="18" t="s">
        <v>1251</v>
      </c>
      <c r="S258" s="11" t="s">
        <v>1252</v>
      </c>
      <c r="T258" s="12"/>
      <c r="U258" s="10" t="str">
        <f>HYPERLINK("https://pbs.twimg.com/profile_images/1039841019758632961/Jh1HWdqL.jpg","View")</f>
        <v>View</v>
      </c>
    </row>
    <row r="259" spans="1:21" ht="51">
      <c r="A259" s="6">
        <v>43427.583657407406</v>
      </c>
      <c r="B259" s="7" t="str">
        <f>HYPERLINK("https://twitter.com/estslatineibers","@estslatineibers")</f>
        <v>@estslatineibers</v>
      </c>
      <c r="C259" s="8" t="s">
        <v>1228</v>
      </c>
      <c r="D259" s="9" t="s">
        <v>1254</v>
      </c>
      <c r="E259" s="10" t="str">
        <f>HYPERLINK("https://twitter.com/estslatineibers/status/1065953226229497857","1065953226229497857")</f>
        <v>1065953226229497857</v>
      </c>
      <c r="F259" s="11" t="s">
        <v>1255</v>
      </c>
      <c r="G259" s="12"/>
      <c r="H259" s="12"/>
      <c r="I259" s="13">
        <v>0</v>
      </c>
      <c r="J259" s="13">
        <v>0</v>
      </c>
      <c r="K259" s="14" t="str">
        <f>HYPERLINK("http://twitter.com","Twitter Web Client")</f>
        <v>Twitter Web Client</v>
      </c>
      <c r="L259" s="13">
        <v>891</v>
      </c>
      <c r="M259" s="13">
        <v>1914</v>
      </c>
      <c r="N259" s="13">
        <v>40</v>
      </c>
      <c r="O259" s="15"/>
      <c r="P259" s="6">
        <v>40408.838055555556</v>
      </c>
      <c r="Q259" s="17" t="s">
        <v>1231</v>
      </c>
      <c r="R259" s="18" t="s">
        <v>1232</v>
      </c>
      <c r="S259" s="11" t="s">
        <v>1233</v>
      </c>
      <c r="T259" s="12"/>
      <c r="U259" s="10" t="str">
        <f>HYPERLINK("https://pbs.twimg.com/profile_images/517276756219150336/-8eIRjgc.jpeg","View")</f>
        <v>View</v>
      </c>
    </row>
    <row r="260" spans="1:21" ht="30.6">
      <c r="A260" s="6">
        <v>43427.583333333328</v>
      </c>
      <c r="B260" s="7" t="str">
        <f>HYPERLINK("https://twitter.com/doblellave","@doblellave")</f>
        <v>@doblellave</v>
      </c>
      <c r="C260" s="8" t="s">
        <v>1256</v>
      </c>
      <c r="D260" s="9" t="s">
        <v>1257</v>
      </c>
      <c r="E260" s="10" t="str">
        <f>HYPERLINK("https://twitter.com/doblellave/status/1065953111351672834","1065953111351672834")</f>
        <v>1065953111351672834</v>
      </c>
      <c r="F260" s="11" t="s">
        <v>1259</v>
      </c>
      <c r="G260" s="12"/>
      <c r="H260" s="12"/>
      <c r="I260" s="13">
        <v>0</v>
      </c>
      <c r="J260" s="13">
        <v>0</v>
      </c>
      <c r="K260" s="14" t="str">
        <f>HYPERLINK("https://about.twitter.com/products/tweetdeck","TweetDeck")</f>
        <v>TweetDeck</v>
      </c>
      <c r="L260" s="13">
        <v>47698</v>
      </c>
      <c r="M260" s="13">
        <v>6174</v>
      </c>
      <c r="N260" s="13">
        <v>156</v>
      </c>
      <c r="O260" s="15"/>
      <c r="P260" s="6">
        <v>40754.066516203704</v>
      </c>
      <c r="Q260" s="17" t="s">
        <v>104</v>
      </c>
      <c r="R260" s="18" t="s">
        <v>1260</v>
      </c>
      <c r="S260" s="11" t="s">
        <v>1261</v>
      </c>
      <c r="T260" s="12"/>
      <c r="U260" s="10" t="str">
        <f>HYPERLINK("https://pbs.twimg.com/profile_images/876900028861870080/kzOXxNIR.jpg","View")</f>
        <v>View</v>
      </c>
    </row>
    <row r="261" spans="1:21" ht="30.6">
      <c r="A261" s="6">
        <v>43427.583229166667</v>
      </c>
      <c r="B261" s="7" t="str">
        <f>HYPERLINK("https://twitter.com/estslatineibers","@estslatineibers")</f>
        <v>@estslatineibers</v>
      </c>
      <c r="C261" s="8" t="s">
        <v>1228</v>
      </c>
      <c r="D261" s="9" t="s">
        <v>1262</v>
      </c>
      <c r="E261" s="10" t="str">
        <f>HYPERLINK("https://twitter.com/estslatineibers/status/1065953073993003008","1065953073993003008")</f>
        <v>1065953073993003008</v>
      </c>
      <c r="F261" s="11" t="s">
        <v>1255</v>
      </c>
      <c r="G261" s="12"/>
      <c r="H261" s="12"/>
      <c r="I261" s="13">
        <v>0</v>
      </c>
      <c r="J261" s="13">
        <v>0</v>
      </c>
      <c r="K261" s="14" t="str">
        <f>HYPERLINK("http://www.facebook.com/twitter","Facebook")</f>
        <v>Facebook</v>
      </c>
      <c r="L261" s="13">
        <v>891</v>
      </c>
      <c r="M261" s="13">
        <v>1914</v>
      </c>
      <c r="N261" s="13">
        <v>40</v>
      </c>
      <c r="O261" s="15"/>
      <c r="P261" s="6">
        <v>40408.838055555556</v>
      </c>
      <c r="Q261" s="17" t="s">
        <v>1231</v>
      </c>
      <c r="R261" s="18" t="s">
        <v>1232</v>
      </c>
      <c r="S261" s="11" t="s">
        <v>1233</v>
      </c>
      <c r="T261" s="12"/>
      <c r="U261" s="10" t="str">
        <f>HYPERLINK("https://pbs.twimg.com/profile_images/517276756219150336/-8eIRjgc.jpeg","View")</f>
        <v>View</v>
      </c>
    </row>
    <row r="262" spans="1:21" ht="30.6">
      <c r="A262" s="6">
        <v>43427.583148148144</v>
      </c>
      <c r="B262" s="7" t="str">
        <f>HYPERLINK("https://twitter.com/ElAngelFacha","@ElAngelFacha")</f>
        <v>@ElAngelFacha</v>
      </c>
      <c r="C262" s="8" t="s">
        <v>1243</v>
      </c>
      <c r="D262" s="9" t="s">
        <v>1263</v>
      </c>
      <c r="E262" s="10" t="str">
        <f>HYPERLINK("https://twitter.com/ElAngelFacha/status/1065953041382281216","1065953041382281216")</f>
        <v>1065953041382281216</v>
      </c>
      <c r="F262" s="11" t="s">
        <v>1264</v>
      </c>
      <c r="G262" s="12"/>
      <c r="H262" s="12"/>
      <c r="I262" s="13">
        <v>1</v>
      </c>
      <c r="J262" s="13">
        <v>1</v>
      </c>
      <c r="K262" s="14" t="str">
        <f>HYPERLINK("http://twitter.com","Twitter Web Client")</f>
        <v>Twitter Web Client</v>
      </c>
      <c r="L262" s="13">
        <v>1109</v>
      </c>
      <c r="M262" s="13">
        <v>1522</v>
      </c>
      <c r="N262" s="13">
        <v>1</v>
      </c>
      <c r="O262" s="15"/>
      <c r="P262" s="6">
        <v>42923.928784722222</v>
      </c>
      <c r="Q262" s="17" t="s">
        <v>1246</v>
      </c>
      <c r="R262" s="18" t="s">
        <v>1247</v>
      </c>
      <c r="S262" s="12"/>
      <c r="T262" s="12"/>
      <c r="U262" s="10" t="str">
        <f>HYPERLINK("https://pbs.twimg.com/profile_images/1065214756913582080/fpMeP2qa.jpg","View")</f>
        <v>View</v>
      </c>
    </row>
    <row r="263" spans="1:21" ht="51">
      <c r="A263" s="6">
        <v>43427.583101851851</v>
      </c>
      <c r="B263" s="7" t="str">
        <f>HYPERLINK("https://twitter.com/Rosell_Surfer","@Rosell_Surfer")</f>
        <v>@Rosell_Surfer</v>
      </c>
      <c r="C263" s="8" t="s">
        <v>1265</v>
      </c>
      <c r="D263" s="9" t="s">
        <v>1266</v>
      </c>
      <c r="E263" s="10" t="str">
        <f>HYPERLINK("https://twitter.com/Rosell_Surfer/status/1065953026140033025","1065953026140033025")</f>
        <v>1065953026140033025</v>
      </c>
      <c r="F263" s="11" t="s">
        <v>1267</v>
      </c>
      <c r="G263" s="11" t="s">
        <v>1268</v>
      </c>
      <c r="H263" s="12"/>
      <c r="I263" s="13">
        <v>0</v>
      </c>
      <c r="J263" s="13">
        <v>1</v>
      </c>
      <c r="K263" s="14" t="str">
        <f>HYPERLINK("https://dlvrit.com/","dlvr.it")</f>
        <v>dlvr.it</v>
      </c>
      <c r="L263" s="13">
        <v>359</v>
      </c>
      <c r="M263" s="13">
        <v>292</v>
      </c>
      <c r="N263" s="13">
        <v>13</v>
      </c>
      <c r="O263" s="15"/>
      <c r="P263" s="6">
        <v>41310.086331018516</v>
      </c>
      <c r="Q263" s="12"/>
      <c r="R263" s="18" t="s">
        <v>1269</v>
      </c>
      <c r="S263" s="12"/>
      <c r="T263" s="12"/>
      <c r="U263" s="10" t="str">
        <f>HYPERLINK("https://pbs.twimg.com/profile_images/803076118668541953/Jh6HmVRi.jpg","View")</f>
        <v>View</v>
      </c>
    </row>
    <row r="264" spans="1:21" ht="51">
      <c r="A264" s="6">
        <v>43427.581712962958</v>
      </c>
      <c r="B264" s="7" t="str">
        <f t="shared" ref="B264:B265" si="39">HYPERLINK("https://twitter.com/estslatineibers","@estslatineibers")</f>
        <v>@estslatineibers</v>
      </c>
      <c r="C264" s="8" t="s">
        <v>1228</v>
      </c>
      <c r="D264" s="9" t="s">
        <v>1270</v>
      </c>
      <c r="E264" s="10" t="str">
        <f>HYPERLINK("https://twitter.com/estslatineibers/status/1065952522119114753","1065952522119114753")</f>
        <v>1065952522119114753</v>
      </c>
      <c r="F264" s="11" t="s">
        <v>1271</v>
      </c>
      <c r="G264" s="12"/>
      <c r="H264" s="12"/>
      <c r="I264" s="13">
        <v>0</v>
      </c>
      <c r="J264" s="13">
        <v>0</v>
      </c>
      <c r="K264" s="14" t="str">
        <f>HYPERLINK("http://twitter.com","Twitter Web Client")</f>
        <v>Twitter Web Client</v>
      </c>
      <c r="L264" s="13">
        <v>891</v>
      </c>
      <c r="M264" s="13">
        <v>1914</v>
      </c>
      <c r="N264" s="13">
        <v>40</v>
      </c>
      <c r="O264" s="15"/>
      <c r="P264" s="6">
        <v>40408.838055555556</v>
      </c>
      <c r="Q264" s="17" t="s">
        <v>1231</v>
      </c>
      <c r="R264" s="18" t="s">
        <v>1232</v>
      </c>
      <c r="S264" s="11" t="s">
        <v>1233</v>
      </c>
      <c r="T264" s="12"/>
      <c r="U264" s="10" t="str">
        <f t="shared" ref="U264:U265" si="40">HYPERLINK("https://pbs.twimg.com/profile_images/517276756219150336/-8eIRjgc.jpeg","View")</f>
        <v>View</v>
      </c>
    </row>
    <row r="265" spans="1:21" ht="30.6">
      <c r="A265" s="6">
        <v>43427.581516203703</v>
      </c>
      <c r="B265" s="7" t="str">
        <f t="shared" si="39"/>
        <v>@estslatineibers</v>
      </c>
      <c r="C265" s="8" t="s">
        <v>1228</v>
      </c>
      <c r="D265" s="9" t="s">
        <v>1272</v>
      </c>
      <c r="E265" s="10" t="str">
        <f>HYPERLINK("https://twitter.com/estslatineibers/status/1065952449926766593","1065952449926766593")</f>
        <v>1065952449926766593</v>
      </c>
      <c r="F265" s="11" t="s">
        <v>1271</v>
      </c>
      <c r="G265" s="12"/>
      <c r="H265" s="12"/>
      <c r="I265" s="13">
        <v>0</v>
      </c>
      <c r="J265" s="13">
        <v>0</v>
      </c>
      <c r="K265" s="14" t="str">
        <f>HYPERLINK("http://www.facebook.com/twitter","Facebook")</f>
        <v>Facebook</v>
      </c>
      <c r="L265" s="13">
        <v>891</v>
      </c>
      <c r="M265" s="13">
        <v>1914</v>
      </c>
      <c r="N265" s="13">
        <v>40</v>
      </c>
      <c r="O265" s="15"/>
      <c r="P265" s="6">
        <v>40408.838055555556</v>
      </c>
      <c r="Q265" s="17" t="s">
        <v>1231</v>
      </c>
      <c r="R265" s="18" t="s">
        <v>1232</v>
      </c>
      <c r="S265" s="11" t="s">
        <v>1233</v>
      </c>
      <c r="T265" s="12"/>
      <c r="U265" s="10" t="str">
        <f t="shared" si="40"/>
        <v>View</v>
      </c>
    </row>
    <row r="266" spans="1:21" ht="40.799999999999997">
      <c r="A266" s="6">
        <v>43427.581099537041</v>
      </c>
      <c r="B266" s="7" t="str">
        <f>HYPERLINK("https://twitter.com/arachibuty","@arachibuty")</f>
        <v>@arachibuty</v>
      </c>
      <c r="C266" s="8" t="s">
        <v>1274</v>
      </c>
      <c r="D266" s="9" t="s">
        <v>1276</v>
      </c>
      <c r="E266" s="10" t="str">
        <f>HYPERLINK("https://twitter.com/arachibuty/status/1065952301762977793","1065952301762977793")</f>
        <v>1065952301762977793</v>
      </c>
      <c r="F266" s="11" t="s">
        <v>904</v>
      </c>
      <c r="G266" s="11" t="s">
        <v>1277</v>
      </c>
      <c r="H266" s="12"/>
      <c r="I266" s="13">
        <v>2</v>
      </c>
      <c r="J266" s="13">
        <v>1</v>
      </c>
      <c r="K266" s="14" t="str">
        <f>HYPERLINK("http://twitter.com/download/android","Twitter for Android")</f>
        <v>Twitter for Android</v>
      </c>
      <c r="L266" s="13">
        <v>375</v>
      </c>
      <c r="M266" s="13">
        <v>80</v>
      </c>
      <c r="N266" s="13">
        <v>13</v>
      </c>
      <c r="O266" s="15"/>
      <c r="P266" s="6">
        <v>39939.628576388888</v>
      </c>
      <c r="Q266" s="17" t="s">
        <v>1278</v>
      </c>
      <c r="R266" s="18" t="s">
        <v>1279</v>
      </c>
      <c r="S266" s="12"/>
      <c r="T266" s="12"/>
      <c r="U266" s="10" t="str">
        <f>HYPERLINK("https://pbs.twimg.com/profile_images/958762545891946496/sVbwOUkU.jpg","View")</f>
        <v>View</v>
      </c>
    </row>
    <row r="267" spans="1:21" ht="61.2">
      <c r="A267" s="6">
        <v>43427.580821759257</v>
      </c>
      <c r="B267" s="7" t="str">
        <f>HYPERLINK("https://twitter.com/Ismaelescuincs","@Ismaelescuincs")</f>
        <v>@Ismaelescuincs</v>
      </c>
      <c r="C267" s="8" t="s">
        <v>902</v>
      </c>
      <c r="D267" s="9" t="s">
        <v>1281</v>
      </c>
      <c r="E267" s="10" t="str">
        <f>HYPERLINK("https://twitter.com/Ismaelescuincs/status/1065952200508219394","1065952200508219394")</f>
        <v>1065952200508219394</v>
      </c>
      <c r="F267" s="12"/>
      <c r="G267" s="11" t="s">
        <v>1283</v>
      </c>
      <c r="H267" s="12"/>
      <c r="I267" s="13">
        <v>14</v>
      </c>
      <c r="J267" s="13">
        <v>9</v>
      </c>
      <c r="K267" s="14" t="str">
        <f t="shared" ref="K267:K268" si="41">HYPERLINK("http://twitter.com/download/iphone","Twitter for iPhone")</f>
        <v>Twitter for iPhone</v>
      </c>
      <c r="L267" s="13">
        <v>1095</v>
      </c>
      <c r="M267" s="13">
        <v>1152</v>
      </c>
      <c r="N267" s="13">
        <v>1</v>
      </c>
      <c r="O267" s="15"/>
      <c r="P267" s="6">
        <v>43085.040821759263</v>
      </c>
      <c r="Q267" s="17" t="s">
        <v>905</v>
      </c>
      <c r="R267" s="18" t="s">
        <v>906</v>
      </c>
      <c r="S267" s="11" t="s">
        <v>907</v>
      </c>
      <c r="T267" s="12"/>
      <c r="U267" s="10" t="str">
        <f>HYPERLINK("https://pbs.twimg.com/profile_images/1041730517530492928/JLvy_OFv.jpg","View")</f>
        <v>View</v>
      </c>
    </row>
    <row r="268" spans="1:21" ht="30.6">
      <c r="A268" s="6">
        <v>43427.580740740741</v>
      </c>
      <c r="B268" s="7" t="str">
        <f>HYPERLINK("https://twitter.com/Manuel_RZ","@Manuel_RZ")</f>
        <v>@Manuel_RZ</v>
      </c>
      <c r="C268" s="8" t="s">
        <v>1284</v>
      </c>
      <c r="D268" s="9" t="s">
        <v>1285</v>
      </c>
      <c r="E268" s="10" t="str">
        <f>HYPERLINK("https://twitter.com/Manuel_RZ/status/1065952171861188608","1065952171861188608")</f>
        <v>1065952171861188608</v>
      </c>
      <c r="F268" s="12"/>
      <c r="G268" s="12"/>
      <c r="H268" s="12"/>
      <c r="I268" s="13">
        <v>0</v>
      </c>
      <c r="J268" s="13">
        <v>0</v>
      </c>
      <c r="K268" s="14" t="str">
        <f t="shared" si="41"/>
        <v>Twitter for iPhone</v>
      </c>
      <c r="L268" s="13">
        <v>237</v>
      </c>
      <c r="M268" s="13">
        <v>97</v>
      </c>
      <c r="N268" s="13">
        <v>9</v>
      </c>
      <c r="O268" s="15"/>
      <c r="P268" s="6">
        <v>40728.021261574075</v>
      </c>
      <c r="Q268" s="12"/>
      <c r="R268" s="19"/>
      <c r="S268" s="12"/>
      <c r="T268" s="12"/>
      <c r="U268" s="10" t="str">
        <f>HYPERLINK("https://pbs.twimg.com/profile_images/511887337224429569/TA640koq.jpeg","View")</f>
        <v>View</v>
      </c>
    </row>
    <row r="269" spans="1:21" ht="20.399999999999999">
      <c r="A269" s="6">
        <v>43427.579606481479</v>
      </c>
      <c r="B269" s="7" t="str">
        <f>HYPERLINK("https://twitter.com/miguelhotero","@miguelhotero")</f>
        <v>@miguelhotero</v>
      </c>
      <c r="C269" s="8" t="s">
        <v>1286</v>
      </c>
      <c r="D269" s="9" t="s">
        <v>1287</v>
      </c>
      <c r="E269" s="10" t="str">
        <f>HYPERLINK("https://twitter.com/miguelhotero/status/1065951758575460352","1065951758575460352")</f>
        <v>1065951758575460352</v>
      </c>
      <c r="F269" s="11" t="s">
        <v>1288</v>
      </c>
      <c r="G269" s="12"/>
      <c r="H269" s="12"/>
      <c r="I269" s="13">
        <v>24</v>
      </c>
      <c r="J269" s="13">
        <v>5</v>
      </c>
      <c r="K269" s="14" t="str">
        <f>HYPERLINK("http://twitter.com/#!/download/ipad","Twitter for iPad")</f>
        <v>Twitter for iPad</v>
      </c>
      <c r="L269" s="13">
        <v>1706068</v>
      </c>
      <c r="M269" s="13">
        <v>1052649</v>
      </c>
      <c r="N269" s="13">
        <v>7484</v>
      </c>
      <c r="O269" s="16" t="s">
        <v>26</v>
      </c>
      <c r="P269" s="6">
        <v>39986.722696759258</v>
      </c>
      <c r="Q269" s="17" t="s">
        <v>1289</v>
      </c>
      <c r="R269" s="18" t="s">
        <v>1290</v>
      </c>
      <c r="S269" s="11" t="s">
        <v>1291</v>
      </c>
      <c r="T269" s="12"/>
      <c r="U269" s="10" t="str">
        <f>HYPERLINK("https://pbs.twimg.com/profile_images/1486529502/IMG_1200.jpg","View")</f>
        <v>View</v>
      </c>
    </row>
    <row r="270" spans="1:21" ht="91.8">
      <c r="A270" s="6">
        <v>43427.579375000001</v>
      </c>
      <c r="B270" s="7" t="str">
        <f>HYPERLINK("https://twitter.com/alftrivi","@alftrivi")</f>
        <v>@alftrivi</v>
      </c>
      <c r="C270" s="8" t="s">
        <v>1292</v>
      </c>
      <c r="D270" s="9" t="s">
        <v>1293</v>
      </c>
      <c r="E270" s="10" t="str">
        <f>HYPERLINK("https://twitter.com/alftrivi/status/1065951674060206080","1065951674060206080")</f>
        <v>1065951674060206080</v>
      </c>
      <c r="F270" s="17" t="s">
        <v>1294</v>
      </c>
      <c r="G270" s="12"/>
      <c r="H270" s="12"/>
      <c r="I270" s="13">
        <v>0</v>
      </c>
      <c r="J270" s="13">
        <v>2</v>
      </c>
      <c r="K270" s="14" t="str">
        <f>HYPERLINK("http://twitter.com/download/android","Twitter for Android")</f>
        <v>Twitter for Android</v>
      </c>
      <c r="L270" s="13">
        <v>103</v>
      </c>
      <c r="M270" s="13">
        <v>21</v>
      </c>
      <c r="N270" s="13">
        <v>1</v>
      </c>
      <c r="O270" s="15"/>
      <c r="P270" s="6">
        <v>42769.534756944442</v>
      </c>
      <c r="Q270" s="17" t="s">
        <v>141</v>
      </c>
      <c r="R270" s="18" t="s">
        <v>1295</v>
      </c>
      <c r="S270" s="12"/>
      <c r="T270" s="12"/>
      <c r="U270" s="10" t="str">
        <f>HYPERLINK("https://pbs.twimg.com/profile_images/1030354291448528896/l0rwy8NO.jpg","View")</f>
        <v>View</v>
      </c>
    </row>
    <row r="271" spans="1:21" ht="40.799999999999997">
      <c r="A271" s="6">
        <v>43427.579236111109</v>
      </c>
      <c r="B271" s="7" t="str">
        <f>HYPERLINK("https://twitter.com/elNota_Lebowski","@elNota_Lebowski")</f>
        <v>@elNota_Lebowski</v>
      </c>
      <c r="C271" s="8" t="s">
        <v>1296</v>
      </c>
      <c r="D271" s="9" t="s">
        <v>1297</v>
      </c>
      <c r="E271" s="10" t="str">
        <f>HYPERLINK("https://twitter.com/elNota_Lebowski/status/1065951623954997256","1065951623954997256")</f>
        <v>1065951623954997256</v>
      </c>
      <c r="F271" s="12"/>
      <c r="G271" s="11" t="s">
        <v>1298</v>
      </c>
      <c r="H271" s="12"/>
      <c r="I271" s="13">
        <v>0</v>
      </c>
      <c r="J271" s="13">
        <v>0</v>
      </c>
      <c r="K271" s="14" t="str">
        <f t="shared" ref="K271:K273" si="42">HYPERLINK("http://twitter.com","Twitter Web Client")</f>
        <v>Twitter Web Client</v>
      </c>
      <c r="L271" s="13">
        <v>8959</v>
      </c>
      <c r="M271" s="13">
        <v>780</v>
      </c>
      <c r="N271" s="13">
        <v>149</v>
      </c>
      <c r="O271" s="15"/>
      <c r="P271" s="6">
        <v>40815.433113425926</v>
      </c>
      <c r="Q271" s="17" t="s">
        <v>1299</v>
      </c>
      <c r="R271" s="18" t="s">
        <v>1300</v>
      </c>
      <c r="S271" s="11" t="s">
        <v>1301</v>
      </c>
      <c r="T271" s="12"/>
      <c r="U271" s="10" t="str">
        <f>HYPERLINK("https://pbs.twimg.com/profile_images/991989109760708608/9yPmdQQi.jpg","View")</f>
        <v>View</v>
      </c>
    </row>
    <row r="272" spans="1:21" ht="40.799999999999997">
      <c r="A272" s="6">
        <v>43427.5778125</v>
      </c>
      <c r="B272" s="7" t="str">
        <f>HYPERLINK("https://twitter.com/FanjulSegundo","@FanjulSegundo")</f>
        <v>@FanjulSegundo</v>
      </c>
      <c r="C272" s="8" t="s">
        <v>1302</v>
      </c>
      <c r="D272" s="9" t="s">
        <v>1303</v>
      </c>
      <c r="E272" s="10" t="str">
        <f>HYPERLINK("https://twitter.com/FanjulSegundo/status/1065951109024497664","1065951109024497664")</f>
        <v>1065951109024497664</v>
      </c>
      <c r="F272" s="11" t="s">
        <v>93</v>
      </c>
      <c r="G272" s="12"/>
      <c r="H272" s="12"/>
      <c r="I272" s="13">
        <v>0</v>
      </c>
      <c r="J272" s="13">
        <v>3</v>
      </c>
      <c r="K272" s="14" t="str">
        <f t="shared" si="42"/>
        <v>Twitter Web Client</v>
      </c>
      <c r="L272" s="13">
        <v>31771</v>
      </c>
      <c r="M272" s="13">
        <v>6924</v>
      </c>
      <c r="N272" s="13">
        <v>103</v>
      </c>
      <c r="O272" s="15"/>
      <c r="P272" s="6">
        <v>40925.638194444444</v>
      </c>
      <c r="Q272" s="12"/>
      <c r="R272" s="18" t="s">
        <v>1304</v>
      </c>
      <c r="S272" s="12"/>
      <c r="T272" s="12"/>
      <c r="U272" s="10" t="str">
        <f>HYPERLINK("https://pbs.twimg.com/profile_images/3538718854/e54d3fd024ceb7ff0dafe39cefaeb701.png","View")</f>
        <v>View</v>
      </c>
    </row>
    <row r="273" spans="1:21" ht="61.2">
      <c r="A273" s="6">
        <v>43427.577604166669</v>
      </c>
      <c r="B273" s="7" t="str">
        <f>HYPERLINK("https://twitter.com/El_Cordoves","@El_Cordoves")</f>
        <v>@El_Cordoves</v>
      </c>
      <c r="C273" s="8" t="s">
        <v>1305</v>
      </c>
      <c r="D273" s="9" t="s">
        <v>1306</v>
      </c>
      <c r="E273" s="10" t="str">
        <f>HYPERLINK("https://twitter.com/El_Cordoves/status/1065951033761964032","1065951033761964032")</f>
        <v>1065951033761964032</v>
      </c>
      <c r="F273" s="17" t="s">
        <v>1307</v>
      </c>
      <c r="G273" s="11" t="s">
        <v>1308</v>
      </c>
      <c r="H273" s="12"/>
      <c r="I273" s="13">
        <v>0</v>
      </c>
      <c r="J273" s="13">
        <v>0</v>
      </c>
      <c r="K273" s="14" t="str">
        <f t="shared" si="42"/>
        <v>Twitter Web Client</v>
      </c>
      <c r="L273" s="13">
        <v>706</v>
      </c>
      <c r="M273" s="13">
        <v>503</v>
      </c>
      <c r="N273" s="13">
        <v>36</v>
      </c>
      <c r="O273" s="15"/>
      <c r="P273" s="6">
        <v>39968.656747685185</v>
      </c>
      <c r="Q273" s="17" t="s">
        <v>104</v>
      </c>
      <c r="R273" s="18" t="s">
        <v>1309</v>
      </c>
      <c r="S273" s="11" t="s">
        <v>1310</v>
      </c>
      <c r="T273" s="12"/>
      <c r="U273" s="10" t="str">
        <f>HYPERLINK("https://pbs.twimg.com/profile_images/1025016680068653056/1VhcP3ep.jpg","View")</f>
        <v>View</v>
      </c>
    </row>
    <row r="274" spans="1:21" ht="20.399999999999999">
      <c r="A274" s="6">
        <v>43427.576412037037</v>
      </c>
      <c r="B274" s="7" t="str">
        <f>HYPERLINK("https://twitter.com/ne_na_ne_ni_ta","@ne_na_ne_ni_ta")</f>
        <v>@ne_na_ne_ni_ta</v>
      </c>
      <c r="C274" s="8" t="s">
        <v>1311</v>
      </c>
      <c r="D274" s="9" t="s">
        <v>1312</v>
      </c>
      <c r="E274" s="10" t="str">
        <f>HYPERLINK("https://twitter.com/ne_na_ne_ni_ta/status/1065950601631158272","1065950601631158272")</f>
        <v>1065950601631158272</v>
      </c>
      <c r="F274" s="12"/>
      <c r="G274" s="12"/>
      <c r="H274" s="12"/>
      <c r="I274" s="13">
        <v>0</v>
      </c>
      <c r="J274" s="13">
        <v>0</v>
      </c>
      <c r="K274" s="14" t="str">
        <f>HYPERLINK("http://twitter.com/download/iphone","Twitter for iPhone")</f>
        <v>Twitter for iPhone</v>
      </c>
      <c r="L274" s="13">
        <v>274</v>
      </c>
      <c r="M274" s="13">
        <v>181</v>
      </c>
      <c r="N274" s="13">
        <v>10</v>
      </c>
      <c r="O274" s="15"/>
      <c r="P274" s="6">
        <v>42227.872303240743</v>
      </c>
      <c r="Q274" s="17" t="s">
        <v>1313</v>
      </c>
      <c r="R274" s="18" t="s">
        <v>1314</v>
      </c>
      <c r="S274" s="11" t="s">
        <v>1315</v>
      </c>
      <c r="T274" s="12"/>
      <c r="U274" s="10" t="str">
        <f>HYPERLINK("https://pbs.twimg.com/profile_images/1052805302037487617/wlqcYi5f.jpg","View")</f>
        <v>View</v>
      </c>
    </row>
    <row r="275" spans="1:21" ht="20.399999999999999">
      <c r="A275" s="6">
        <v>43427.576273148152</v>
      </c>
      <c r="B275" s="7" t="str">
        <f>HYPERLINK("https://twitter.com/JosMar15Y","@JosMar15Y")</f>
        <v>@JosMar15Y</v>
      </c>
      <c r="C275" s="8" t="s">
        <v>1316</v>
      </c>
      <c r="D275" s="9" t="s">
        <v>43</v>
      </c>
      <c r="E275" s="10" t="str">
        <f>HYPERLINK("https://twitter.com/JosMar15Y/status/1065950552985673728","1065950552985673728")</f>
        <v>1065950552985673728</v>
      </c>
      <c r="F275" s="11" t="s">
        <v>1317</v>
      </c>
      <c r="G275" s="12"/>
      <c r="H275" s="12"/>
      <c r="I275" s="13">
        <v>0</v>
      </c>
      <c r="J275" s="13">
        <v>0</v>
      </c>
      <c r="K275" s="14" t="str">
        <f t="shared" ref="K275:K276" si="43">HYPERLINK("http://twitter.com","Twitter Web Client")</f>
        <v>Twitter Web Client</v>
      </c>
      <c r="L275" s="13">
        <v>83</v>
      </c>
      <c r="M275" s="13">
        <v>403</v>
      </c>
      <c r="N275" s="13">
        <v>1</v>
      </c>
      <c r="O275" s="15"/>
      <c r="P275" s="6">
        <v>40173.845023148147</v>
      </c>
      <c r="Q275" s="17" t="s">
        <v>28</v>
      </c>
      <c r="R275" s="19"/>
      <c r="S275" s="12"/>
      <c r="T275" s="12"/>
      <c r="U275" s="10" t="str">
        <f>HYPERLINK("https://pbs.twimg.com/profile_images/682739209610854400/6p77ZXsE.jpg","View")</f>
        <v>View</v>
      </c>
    </row>
    <row r="276" spans="1:21" ht="40.799999999999997">
      <c r="A276" s="6">
        <v>43427.575624999998</v>
      </c>
      <c r="B276" s="7" t="str">
        <f>HYPERLINK("https://twitter.com/parvulesco_","@parvulesco_")</f>
        <v>@parvulesco_</v>
      </c>
      <c r="C276" s="8" t="s">
        <v>1318</v>
      </c>
      <c r="D276" s="9" t="s">
        <v>1319</v>
      </c>
      <c r="E276" s="10" t="str">
        <f>HYPERLINK("https://twitter.com/parvulesco_/status/1065950314656907264","1065950314656907264")</f>
        <v>1065950314656907264</v>
      </c>
      <c r="F276" s="12"/>
      <c r="G276" s="11" t="s">
        <v>1320</v>
      </c>
      <c r="H276" s="12"/>
      <c r="I276" s="13">
        <v>1</v>
      </c>
      <c r="J276" s="13">
        <v>0</v>
      </c>
      <c r="K276" s="14" t="str">
        <f t="shared" si="43"/>
        <v>Twitter Web Client</v>
      </c>
      <c r="L276" s="13">
        <v>163</v>
      </c>
      <c r="M276" s="13">
        <v>267</v>
      </c>
      <c r="N276" s="13">
        <v>3</v>
      </c>
      <c r="O276" s="15"/>
      <c r="P276" s="6">
        <v>43409.631782407407</v>
      </c>
      <c r="Q276" s="17" t="s">
        <v>1321</v>
      </c>
      <c r="R276" s="18" t="s">
        <v>1322</v>
      </c>
      <c r="S276" s="11" t="s">
        <v>1323</v>
      </c>
      <c r="T276" s="12"/>
      <c r="U276" s="10" t="str">
        <f>HYPERLINK("https://pbs.twimg.com/profile_images/1059448659115307010/iFgakzBy.jpg","View")</f>
        <v>View</v>
      </c>
    </row>
    <row r="277" spans="1:21" ht="30.6">
      <c r="A277" s="6">
        <v>43427.575439814813</v>
      </c>
      <c r="B277" s="7" t="str">
        <f>HYPERLINK("https://twitter.com/Mari__Casanova","@Mari__Casanova")</f>
        <v>@Mari__Casanova</v>
      </c>
      <c r="C277" s="8" t="s">
        <v>1324</v>
      </c>
      <c r="D277" s="9" t="s">
        <v>1325</v>
      </c>
      <c r="E277" s="10" t="str">
        <f>HYPERLINK("https://twitter.com/Mari__Casanova/status/1065950247623507968","1065950247623507968")</f>
        <v>1065950247623507968</v>
      </c>
      <c r="F277" s="11" t="s">
        <v>1326</v>
      </c>
      <c r="G277" s="12"/>
      <c r="H277" s="12"/>
      <c r="I277" s="13">
        <v>0</v>
      </c>
      <c r="J277" s="13">
        <v>0</v>
      </c>
      <c r="K277" s="14" t="str">
        <f>HYPERLINK("https://ifttt.com","IFTTT")</f>
        <v>IFTTT</v>
      </c>
      <c r="L277" s="13">
        <v>705</v>
      </c>
      <c r="M277" s="13">
        <v>163</v>
      </c>
      <c r="N277" s="13">
        <v>2</v>
      </c>
      <c r="O277" s="15"/>
      <c r="P277" s="6">
        <v>42944.109861111108</v>
      </c>
      <c r="Q277" s="17" t="s">
        <v>1327</v>
      </c>
      <c r="R277" s="18" t="s">
        <v>1328</v>
      </c>
      <c r="S277" s="12"/>
      <c r="T277" s="12"/>
      <c r="U277" s="10" t="str">
        <f>HYPERLINK("https://pbs.twimg.com/profile_images/986637601372241920/zT1yyMnO.jpg","View")</f>
        <v>View</v>
      </c>
    </row>
    <row r="278" spans="1:21" ht="30.6">
      <c r="A278" s="6">
        <v>43427.573530092588</v>
      </c>
      <c r="B278" s="7" t="str">
        <f>HYPERLINK("https://twitter.com/lolapastur","@lolapastur")</f>
        <v>@lolapastur</v>
      </c>
      <c r="C278" s="8" t="s">
        <v>1329</v>
      </c>
      <c r="D278" s="9" t="s">
        <v>1330</v>
      </c>
      <c r="E278" s="10" t="str">
        <f>HYPERLINK("https://twitter.com/lolapastur/status/1065949556754518018","1065949556754518018")</f>
        <v>1065949556754518018</v>
      </c>
      <c r="F278" s="11" t="s">
        <v>1331</v>
      </c>
      <c r="G278" s="12"/>
      <c r="H278" s="12"/>
      <c r="I278" s="13">
        <v>4</v>
      </c>
      <c r="J278" s="13">
        <v>1</v>
      </c>
      <c r="K278" s="14" t="str">
        <f>HYPERLINK("http://twitter.com/download/iphone","Twitter for iPhone")</f>
        <v>Twitter for iPhone</v>
      </c>
      <c r="L278" s="13">
        <v>3768</v>
      </c>
      <c r="M278" s="13">
        <v>2836</v>
      </c>
      <c r="N278" s="13">
        <v>32</v>
      </c>
      <c r="O278" s="15"/>
      <c r="P278" s="6">
        <v>40913.599293981482</v>
      </c>
      <c r="Q278" s="12"/>
      <c r="R278" s="18" t="s">
        <v>1332</v>
      </c>
      <c r="S278" s="12"/>
      <c r="T278" s="12"/>
      <c r="U278" s="10" t="str">
        <f>HYPERLINK("https://pbs.twimg.com/profile_images/934821295736451073/tnymHvNj.jpg","View")</f>
        <v>View</v>
      </c>
    </row>
    <row r="279" spans="1:21" ht="40.799999999999997">
      <c r="A279" s="6">
        <v>43427.573518518519</v>
      </c>
      <c r="B279" s="7" t="str">
        <f>HYPERLINK("https://twitter.com/la_patilla","@la_patilla")</f>
        <v>@la_patilla</v>
      </c>
      <c r="C279" s="8" t="s">
        <v>1333</v>
      </c>
      <c r="D279" s="9" t="s">
        <v>1334</v>
      </c>
      <c r="E279" s="10" t="str">
        <f>HYPERLINK("https://twitter.com/la_patilla/status/1065949551981461504","1065949551981461504")</f>
        <v>1065949551981461504</v>
      </c>
      <c r="F279" s="11" t="s">
        <v>1335</v>
      </c>
      <c r="G279" s="12"/>
      <c r="H279" s="12"/>
      <c r="I279" s="13">
        <v>0</v>
      </c>
      <c r="J279" s="13">
        <v>0</v>
      </c>
      <c r="K279" s="14" t="str">
        <f>HYPERLINK("https://about.twitter.com/products/tweetdeck","TweetDeck")</f>
        <v>TweetDeck</v>
      </c>
      <c r="L279" s="13">
        <v>6829404</v>
      </c>
      <c r="M279" s="13">
        <v>150</v>
      </c>
      <c r="N279" s="13">
        <v>16420</v>
      </c>
      <c r="O279" s="16" t="s">
        <v>26</v>
      </c>
      <c r="P279" s="6">
        <v>40255.626388888893</v>
      </c>
      <c r="Q279" s="17" t="s">
        <v>104</v>
      </c>
      <c r="R279" s="18" t="s">
        <v>1336</v>
      </c>
      <c r="S279" s="11" t="s">
        <v>1337</v>
      </c>
      <c r="T279" s="12"/>
      <c r="U279" s="10" t="str">
        <f>HYPERLINK("https://pbs.twimg.com/profile_images/886301529627475969/KslqP3me.jpg","View")</f>
        <v>View</v>
      </c>
    </row>
    <row r="280" spans="1:21" ht="40.799999999999997">
      <c r="A280" s="6">
        <v>43427.57309027778</v>
      </c>
      <c r="B280" s="7" t="str">
        <f>HYPERLINK("https://twitter.com/JoseLuisdelRio9","@JoseLuisdelRio9")</f>
        <v>@JoseLuisdelRio9</v>
      </c>
      <c r="C280" s="8" t="s">
        <v>1338</v>
      </c>
      <c r="D280" s="9" t="s">
        <v>1339</v>
      </c>
      <c r="E280" s="10" t="str">
        <f>HYPERLINK("https://twitter.com/JoseLuisdelRio9/status/1065949399677833216","1065949399677833216")</f>
        <v>1065949399677833216</v>
      </c>
      <c r="F280" s="12"/>
      <c r="G280" s="12"/>
      <c r="H280" s="12"/>
      <c r="I280" s="13">
        <v>0</v>
      </c>
      <c r="J280" s="13">
        <v>0</v>
      </c>
      <c r="K280" s="14" t="str">
        <f>HYPERLINK("http://twitter.com/download/android","Twitter for Android")</f>
        <v>Twitter for Android</v>
      </c>
      <c r="L280" s="13">
        <v>1807</v>
      </c>
      <c r="M280" s="13">
        <v>2601</v>
      </c>
      <c r="N280" s="13">
        <v>11</v>
      </c>
      <c r="O280" s="15"/>
      <c r="P280" s="6">
        <v>41780.701782407406</v>
      </c>
      <c r="Q280" s="12"/>
      <c r="R280" s="19"/>
      <c r="S280" s="12"/>
      <c r="T280" s="12"/>
      <c r="U280" s="10" t="str">
        <f>HYPERLINK("https://pbs.twimg.com/profile_images/774235564761616384/v8tceDLo.jpg","View")</f>
        <v>View</v>
      </c>
    </row>
    <row r="281" spans="1:21" ht="30.6">
      <c r="A281" s="6">
        <v>43427.572638888887</v>
      </c>
      <c r="B281" s="7" t="str">
        <f>HYPERLINK("https://twitter.com/VanityFairSpain","@VanityFairSpain")</f>
        <v>@VanityFairSpain</v>
      </c>
      <c r="C281" s="8" t="s">
        <v>1340</v>
      </c>
      <c r="D281" s="9" t="s">
        <v>1325</v>
      </c>
      <c r="E281" s="10" t="str">
        <f>HYPERLINK("https://twitter.com/VanityFairSpain/status/1065949234325790720","1065949234325790720")</f>
        <v>1065949234325790720</v>
      </c>
      <c r="F281" s="11" t="s">
        <v>1326</v>
      </c>
      <c r="G281" s="12"/>
      <c r="H281" s="12"/>
      <c r="I281" s="13">
        <v>1</v>
      </c>
      <c r="J281" s="13">
        <v>0</v>
      </c>
      <c r="K281" s="14" t="str">
        <f>HYPERLINK("https://about.twitter.com/products/tweetdeck","TweetDeck")</f>
        <v>TweetDeck</v>
      </c>
      <c r="L281" s="13">
        <v>612527</v>
      </c>
      <c r="M281" s="13">
        <v>502</v>
      </c>
      <c r="N281" s="13">
        <v>2550</v>
      </c>
      <c r="O281" s="16" t="s">
        <v>26</v>
      </c>
      <c r="P281" s="6">
        <v>40170.488807870366</v>
      </c>
      <c r="Q281" s="17" t="s">
        <v>436</v>
      </c>
      <c r="R281" s="18" t="s">
        <v>1341</v>
      </c>
      <c r="S281" s="11" t="s">
        <v>690</v>
      </c>
      <c r="T281" s="12"/>
      <c r="U281" s="10" t="str">
        <f>HYPERLINK("https://pbs.twimg.com/profile_images/903206869275217920/-bdg4xz-.jpg","View")</f>
        <v>View</v>
      </c>
    </row>
    <row r="282" spans="1:21" ht="30.6">
      <c r="A282" s="6">
        <v>43427.572199074071</v>
      </c>
      <c r="B282" s="7" t="str">
        <f>HYPERLINK("https://twitter.com/FuensantaLM","@FuensantaLM")</f>
        <v>@FuensantaLM</v>
      </c>
      <c r="C282" s="8" t="s">
        <v>1343</v>
      </c>
      <c r="D282" s="9" t="s">
        <v>1345</v>
      </c>
      <c r="E282" s="10" t="str">
        <f>HYPERLINK("https://twitter.com/FuensantaLM/status/1065949074845822976","1065949074845822976")</f>
        <v>1065949074845822976</v>
      </c>
      <c r="F282" s="11" t="s">
        <v>1347</v>
      </c>
      <c r="G282" s="11" t="s">
        <v>1348</v>
      </c>
      <c r="H282" s="12"/>
      <c r="I282" s="13">
        <v>1</v>
      </c>
      <c r="J282" s="13">
        <v>2</v>
      </c>
      <c r="K282" s="14" t="str">
        <f>HYPERLINK("http://www.cosasdeunabailarina.es","Bailarina Auto Twitter")</f>
        <v>Bailarina Auto Twitter</v>
      </c>
      <c r="L282" s="13">
        <v>14519</v>
      </c>
      <c r="M282" s="13">
        <v>14525</v>
      </c>
      <c r="N282" s="13">
        <v>191</v>
      </c>
      <c r="O282" s="15"/>
      <c r="P282" s="6">
        <v>41068.571076388893</v>
      </c>
      <c r="Q282" s="17" t="s">
        <v>28</v>
      </c>
      <c r="R282" s="18" t="s">
        <v>1349</v>
      </c>
      <c r="S282" s="11" t="s">
        <v>1350</v>
      </c>
      <c r="T282" s="12"/>
      <c r="U282" s="10" t="str">
        <f>HYPERLINK("https://pbs.twimg.com/profile_images/984828025639526400/FWEVAQrE.jpg","View")</f>
        <v>View</v>
      </c>
    </row>
    <row r="283" spans="1:21" ht="30.6">
      <c r="A283" s="6">
        <v>43427.571134259255</v>
      </c>
      <c r="B283" s="7" t="str">
        <f>HYPERLINK("https://twitter.com/cabrerodelaflor","@cabrerodelaflor")</f>
        <v>@cabrerodelaflor</v>
      </c>
      <c r="C283" s="8" t="s">
        <v>1351</v>
      </c>
      <c r="D283" s="9" t="s">
        <v>1352</v>
      </c>
      <c r="E283" s="10" t="str">
        <f>HYPERLINK("https://twitter.com/cabrerodelaflor/status/1065948689506729987","1065948689506729987")</f>
        <v>1065948689506729987</v>
      </c>
      <c r="F283" s="11" t="s">
        <v>1353</v>
      </c>
      <c r="G283" s="12"/>
      <c r="H283" s="12"/>
      <c r="I283" s="13">
        <v>0</v>
      </c>
      <c r="J283" s="13">
        <v>0</v>
      </c>
      <c r="K283" s="14" t="str">
        <f>HYPERLINK("https://mobile.twitter.com","Twitter Lite")</f>
        <v>Twitter Lite</v>
      </c>
      <c r="L283" s="13">
        <v>99</v>
      </c>
      <c r="M283" s="13">
        <v>200</v>
      </c>
      <c r="N283" s="13">
        <v>1</v>
      </c>
      <c r="O283" s="15"/>
      <c r="P283" s="6">
        <v>41169.499652777777</v>
      </c>
      <c r="Q283" s="17" t="s">
        <v>1354</v>
      </c>
      <c r="R283" s="18" t="s">
        <v>1355</v>
      </c>
      <c r="S283" s="11" t="s">
        <v>1356</v>
      </c>
      <c r="T283" s="12"/>
      <c r="U283" s="10" t="str">
        <f>HYPERLINK("https://pbs.twimg.com/profile_images/2770946254/c5b06b5fa18d07a3b83dbe05edac8b87.jpeg","View")</f>
        <v>View</v>
      </c>
    </row>
    <row r="284" spans="1:21" ht="20.399999999999999">
      <c r="A284" s="6">
        <v>43427.57099537037</v>
      </c>
      <c r="B284" s="7" t="str">
        <f>HYPERLINK("https://twitter.com/Dimas_Cuevas","@Dimas_Cuevas")</f>
        <v>@Dimas_Cuevas</v>
      </c>
      <c r="C284" s="8" t="s">
        <v>1357</v>
      </c>
      <c r="D284" s="9" t="s">
        <v>1358</v>
      </c>
      <c r="E284" s="10" t="str">
        <f>HYPERLINK("https://twitter.com/Dimas_Cuevas/status/1065948638663372800","1065948638663372800")</f>
        <v>1065948638663372800</v>
      </c>
      <c r="F284" s="11" t="s">
        <v>1359</v>
      </c>
      <c r="G284" s="12"/>
      <c r="H284" s="12"/>
      <c r="I284" s="13">
        <v>0</v>
      </c>
      <c r="J284" s="13">
        <v>0</v>
      </c>
      <c r="K284" s="14" t="str">
        <f t="shared" ref="K284:K286" si="44">HYPERLINK("http://twitter.com","Twitter Web Client")</f>
        <v>Twitter Web Client</v>
      </c>
      <c r="L284" s="13">
        <v>415</v>
      </c>
      <c r="M284" s="13">
        <v>288</v>
      </c>
      <c r="N284" s="13">
        <v>8</v>
      </c>
      <c r="O284" s="15"/>
      <c r="P284" s="6">
        <v>40954.931469907409</v>
      </c>
      <c r="Q284" s="12"/>
      <c r="R284" s="19"/>
      <c r="S284" s="12"/>
      <c r="T284" s="12"/>
      <c r="U284" s="10" t="str">
        <f>HYPERLINK("https://pbs.twimg.com/profile_images/684426051829764096/6ltRNfDI.jpg","View")</f>
        <v>View</v>
      </c>
    </row>
    <row r="285" spans="1:21" ht="40.799999999999997">
      <c r="A285" s="6">
        <v>43427.57099537037</v>
      </c>
      <c r="B285" s="7" t="str">
        <f>HYPERLINK("https://twitter.com/Alber","@Alber")</f>
        <v>@Alber</v>
      </c>
      <c r="C285" s="8" t="s">
        <v>1360</v>
      </c>
      <c r="D285" s="9" t="s">
        <v>1361</v>
      </c>
      <c r="E285" s="10" t="str">
        <f>HYPERLINK("https://twitter.com/Alber/status/1065948638432645120","1065948638432645120")</f>
        <v>1065948638432645120</v>
      </c>
      <c r="F285" s="12"/>
      <c r="G285" s="12"/>
      <c r="H285" s="12"/>
      <c r="I285" s="13">
        <v>0</v>
      </c>
      <c r="J285" s="13">
        <v>3</v>
      </c>
      <c r="K285" s="14" t="str">
        <f t="shared" si="44"/>
        <v>Twitter Web Client</v>
      </c>
      <c r="L285" s="13">
        <v>768</v>
      </c>
      <c r="M285" s="13">
        <v>263</v>
      </c>
      <c r="N285" s="13">
        <v>32</v>
      </c>
      <c r="O285" s="15"/>
      <c r="P285" s="6">
        <v>39164.832118055558</v>
      </c>
      <c r="Q285" s="17" t="s">
        <v>1362</v>
      </c>
      <c r="R285" s="18" t="s">
        <v>1363</v>
      </c>
      <c r="S285" s="11" t="s">
        <v>1364</v>
      </c>
      <c r="T285" s="12"/>
      <c r="U285" s="10" t="str">
        <f>HYPERLINK("https://pbs.twimg.com/profile_images/978186679361200128/VYR3obOc.jpg","View")</f>
        <v>View</v>
      </c>
    </row>
    <row r="286" spans="1:21" ht="51">
      <c r="A286" s="6">
        <v>43427.570937500001</v>
      </c>
      <c r="B286" s="7" t="str">
        <f>HYPERLINK("https://twitter.com/jm_clavero","@jm_clavero")</f>
        <v>@jm_clavero</v>
      </c>
      <c r="C286" s="8" t="s">
        <v>1365</v>
      </c>
      <c r="D286" s="9" t="s">
        <v>1366</v>
      </c>
      <c r="E286" s="10" t="str">
        <f>HYPERLINK("https://twitter.com/jm_clavero/status/1065948617335336960","1065948617335336960")</f>
        <v>1065948617335336960</v>
      </c>
      <c r="F286" s="12"/>
      <c r="G286" s="12"/>
      <c r="H286" s="12"/>
      <c r="I286" s="13">
        <v>12</v>
      </c>
      <c r="J286" s="13">
        <v>30</v>
      </c>
      <c r="K286" s="14" t="str">
        <f t="shared" si="44"/>
        <v>Twitter Web Client</v>
      </c>
      <c r="L286" s="13">
        <v>31947</v>
      </c>
      <c r="M286" s="13">
        <v>1161</v>
      </c>
      <c r="N286" s="13">
        <v>137</v>
      </c>
      <c r="O286" s="15"/>
      <c r="P286" s="6">
        <v>42430.534143518518</v>
      </c>
      <c r="Q286" s="12"/>
      <c r="R286" s="18" t="s">
        <v>1367</v>
      </c>
      <c r="S286" s="12"/>
      <c r="T286" s="12"/>
      <c r="U286" s="10" t="str">
        <f>HYPERLINK("https://pbs.twimg.com/profile_images/874958097076424705/Z56uQ_Ie.jpg","View")</f>
        <v>View</v>
      </c>
    </row>
    <row r="287" spans="1:21" ht="40.799999999999997">
      <c r="A287" s="6">
        <v>43427.57068287037</v>
      </c>
      <c r="B287" s="7" t="str">
        <f>HYPERLINK("https://twitter.com/izquierducha","@izquierducha")</f>
        <v>@izquierducha</v>
      </c>
      <c r="C287" s="8" t="s">
        <v>1368</v>
      </c>
      <c r="D287" s="9" t="s">
        <v>1369</v>
      </c>
      <c r="E287" s="10" t="str">
        <f>HYPERLINK("https://twitter.com/izquierducha/status/1065948525450661889","1065948525450661889")</f>
        <v>1065948525450661889</v>
      </c>
      <c r="F287" s="12"/>
      <c r="G287" s="11" t="s">
        <v>1370</v>
      </c>
      <c r="H287" s="12"/>
      <c r="I287" s="13">
        <v>4</v>
      </c>
      <c r="J287" s="13">
        <v>5</v>
      </c>
      <c r="K287" s="14" t="str">
        <f>HYPERLINK("http://twitter.com/download/android","Twitter for Android")</f>
        <v>Twitter for Android</v>
      </c>
      <c r="L287" s="13">
        <v>1203</v>
      </c>
      <c r="M287" s="13">
        <v>1011</v>
      </c>
      <c r="N287" s="13">
        <v>24</v>
      </c>
      <c r="O287" s="15"/>
      <c r="P287" s="6">
        <v>41772.471979166665</v>
      </c>
      <c r="Q287" s="17" t="s">
        <v>1371</v>
      </c>
      <c r="R287" s="18" t="s">
        <v>1372</v>
      </c>
      <c r="S287" s="12"/>
      <c r="T287" s="12"/>
      <c r="U287" s="10" t="str">
        <f>HYPERLINK("https://pbs.twimg.com/profile_images/1008724379734245376/yinm5uv5.jpg","View")</f>
        <v>View</v>
      </c>
    </row>
    <row r="288" spans="1:21" ht="51">
      <c r="A288" s="6">
        <v>43427.570486111115</v>
      </c>
      <c r="B288" s="7" t="str">
        <f>HYPERLINK("https://twitter.com/gcareaga18","@gcareaga18")</f>
        <v>@gcareaga18</v>
      </c>
      <c r="C288" s="8" t="s">
        <v>1373</v>
      </c>
      <c r="D288" s="9" t="s">
        <v>1374</v>
      </c>
      <c r="E288" s="10" t="str">
        <f>HYPERLINK("https://twitter.com/gcareaga18/status/1065948453744910336","1065948453744910336")</f>
        <v>1065948453744910336</v>
      </c>
      <c r="F288" s="12"/>
      <c r="G288" s="11" t="s">
        <v>1375</v>
      </c>
      <c r="H288" s="12"/>
      <c r="I288" s="13">
        <v>0</v>
      </c>
      <c r="J288" s="13">
        <v>0</v>
      </c>
      <c r="K288" s="14" t="str">
        <f>HYPERLINK("https://ifttt.com","IFTTT")</f>
        <v>IFTTT</v>
      </c>
      <c r="L288" s="13">
        <v>47</v>
      </c>
      <c r="M288" s="13">
        <v>200</v>
      </c>
      <c r="N288" s="13">
        <v>1</v>
      </c>
      <c r="O288" s="15"/>
      <c r="P288" s="6">
        <v>41888.012986111113</v>
      </c>
      <c r="Q288" s="17" t="s">
        <v>497</v>
      </c>
      <c r="R288" s="18" t="s">
        <v>1376</v>
      </c>
      <c r="S288" s="12"/>
      <c r="T288" s="12"/>
      <c r="U288" s="10" t="str">
        <f>HYPERLINK("https://pbs.twimg.com/profile_images/984612980334702592/3NYg9Rnm.jpg","View")</f>
        <v>View</v>
      </c>
    </row>
    <row r="289" spans="1:21" ht="30.6">
      <c r="A289" s="6">
        <v>43427.570405092592</v>
      </c>
      <c r="B289" s="7" t="str">
        <f>HYPERLINK("https://twitter.com/LaTlaxiaquenaOn","@LaTlaxiaquenaOn")</f>
        <v>@LaTlaxiaquenaOn</v>
      </c>
      <c r="C289" s="8" t="s">
        <v>1377</v>
      </c>
      <c r="D289" s="9" t="s">
        <v>1378</v>
      </c>
      <c r="E289" s="10" t="str">
        <f>HYPERLINK("https://twitter.com/LaTlaxiaquenaOn/status/1065948424292450304","1065948424292450304")</f>
        <v>1065948424292450304</v>
      </c>
      <c r="F289" s="12"/>
      <c r="G289" s="12"/>
      <c r="H289" s="12"/>
      <c r="I289" s="13">
        <v>0</v>
      </c>
      <c r="J289" s="13">
        <v>0</v>
      </c>
      <c r="K289" s="14" t="str">
        <f>HYPERLINK("http://twitter.com","Twitter Web Client")</f>
        <v>Twitter Web Client</v>
      </c>
      <c r="L289" s="13">
        <v>230</v>
      </c>
      <c r="M289" s="13">
        <v>81</v>
      </c>
      <c r="N289" s="13">
        <v>0</v>
      </c>
      <c r="O289" s="15"/>
      <c r="P289" s="6">
        <v>42916.550185185188</v>
      </c>
      <c r="Q289" s="17" t="s">
        <v>1379</v>
      </c>
      <c r="R289" s="18" t="s">
        <v>1380</v>
      </c>
      <c r="S289" s="11" t="s">
        <v>1381</v>
      </c>
      <c r="T289" s="12"/>
      <c r="U289" s="10" t="str">
        <f>HYPERLINK("https://pbs.twimg.com/profile_images/880753670077284352/8RY1ZKvQ.jpg","View")</f>
        <v>View</v>
      </c>
    </row>
    <row r="290" spans="1:21" ht="40.799999999999997">
      <c r="A290" s="6">
        <v>43427.570011574076</v>
      </c>
      <c r="B290" s="7" t="str">
        <f>HYPERLINK("https://twitter.com/Ambrosa2","@Ambrosa2")</f>
        <v>@Ambrosa2</v>
      </c>
      <c r="C290" s="8" t="s">
        <v>1382</v>
      </c>
      <c r="D290" s="9" t="s">
        <v>1383</v>
      </c>
      <c r="E290" s="10" t="str">
        <f>HYPERLINK("https://twitter.com/Ambrosa2/status/1065948283208691713","1065948283208691713")</f>
        <v>1065948283208691713</v>
      </c>
      <c r="F290" s="11" t="s">
        <v>1384</v>
      </c>
      <c r="G290" s="12"/>
      <c r="H290" s="12"/>
      <c r="I290" s="13">
        <v>0</v>
      </c>
      <c r="J290" s="13">
        <v>0</v>
      </c>
      <c r="K290" s="14" t="str">
        <f>HYPERLINK("http://twitter.com/download/android","Twitter for Android")</f>
        <v>Twitter for Android</v>
      </c>
      <c r="L290" s="13">
        <v>1667</v>
      </c>
      <c r="M290" s="13">
        <v>1869</v>
      </c>
      <c r="N290" s="13">
        <v>8</v>
      </c>
      <c r="O290" s="15"/>
      <c r="P290" s="6">
        <v>40942.080081018517</v>
      </c>
      <c r="Q290" s="12"/>
      <c r="R290" s="18" t="s">
        <v>1385</v>
      </c>
      <c r="S290" s="12"/>
      <c r="T290" s="12"/>
      <c r="U290" s="10" t="str">
        <f>HYPERLINK("https://pbs.twimg.com/profile_images/718526515349188609/429PIY6j.jpg","View")</f>
        <v>View</v>
      </c>
    </row>
    <row r="291" spans="1:21" ht="40.799999999999997">
      <c r="A291" s="6">
        <v>43427.569826388892</v>
      </c>
      <c r="B291" s="7" t="str">
        <f>HYPERLINK("https://twitter.com/Paco__PO","@Paco__PO")</f>
        <v>@Paco__PO</v>
      </c>
      <c r="C291" s="8" t="s">
        <v>1386</v>
      </c>
      <c r="D291" s="9" t="s">
        <v>1387</v>
      </c>
      <c r="E291" s="10" t="str">
        <f>HYPERLINK("https://twitter.com/Paco__PO/status/1065948215793672192","1065948215793672192")</f>
        <v>1065948215793672192</v>
      </c>
      <c r="F291" s="11" t="s">
        <v>1388</v>
      </c>
      <c r="G291" s="12"/>
      <c r="H291" s="12"/>
      <c r="I291" s="13">
        <v>0</v>
      </c>
      <c r="J291" s="13">
        <v>0</v>
      </c>
      <c r="K291" s="14" t="str">
        <f t="shared" ref="K291:K292" si="45">HYPERLINK("http://twitter.com","Twitter Web Client")</f>
        <v>Twitter Web Client</v>
      </c>
      <c r="L291" s="13">
        <v>357</v>
      </c>
      <c r="M291" s="13">
        <v>462</v>
      </c>
      <c r="N291" s="13">
        <v>1</v>
      </c>
      <c r="O291" s="15"/>
      <c r="P291" s="6">
        <v>42681.415590277778</v>
      </c>
      <c r="Q291" s="17" t="s">
        <v>28</v>
      </c>
      <c r="R291" s="18" t="s">
        <v>1389</v>
      </c>
      <c r="S291" s="12"/>
      <c r="T291" s="12"/>
      <c r="U291" s="10" t="str">
        <f>HYPERLINK("https://pbs.twimg.com/profile_images/795554381211041792/805q1Dfr.jpg","View")</f>
        <v>View</v>
      </c>
    </row>
    <row r="292" spans="1:21" ht="81.599999999999994">
      <c r="A292" s="6">
        <v>43427.569768518515</v>
      </c>
      <c r="B292" s="7" t="str">
        <f>HYPERLINK("https://twitter.com/GabrielMolinaVE","@GabrielMolinaVE")</f>
        <v>@GabrielMolinaVE</v>
      </c>
      <c r="C292" s="8" t="s">
        <v>1390</v>
      </c>
      <c r="D292" s="9" t="s">
        <v>1391</v>
      </c>
      <c r="E292" s="10" t="str">
        <f>HYPERLINK("https://twitter.com/GabrielMolinaVE/status/1065948194209701888","1065948194209701888")</f>
        <v>1065948194209701888</v>
      </c>
      <c r="F292" s="11" t="s">
        <v>343</v>
      </c>
      <c r="G292" s="11" t="s">
        <v>344</v>
      </c>
      <c r="H292" s="12"/>
      <c r="I292" s="13">
        <v>0</v>
      </c>
      <c r="J292" s="13">
        <v>0</v>
      </c>
      <c r="K292" s="14" t="str">
        <f t="shared" si="45"/>
        <v>Twitter Web Client</v>
      </c>
      <c r="L292" s="13">
        <v>1276</v>
      </c>
      <c r="M292" s="13">
        <v>1057</v>
      </c>
      <c r="N292" s="13">
        <v>6</v>
      </c>
      <c r="O292" s="15"/>
      <c r="P292" s="6">
        <v>40654.323229166665</v>
      </c>
      <c r="Q292" s="17" t="s">
        <v>1392</v>
      </c>
      <c r="R292" s="18" t="s">
        <v>1393</v>
      </c>
      <c r="S292" s="11" t="s">
        <v>1394</v>
      </c>
      <c r="T292" s="12"/>
      <c r="U292" s="10" t="str">
        <f>HYPERLINK("https://pbs.twimg.com/profile_images/974485119405830144/CVDJHlcE.jpg","View")</f>
        <v>View</v>
      </c>
    </row>
    <row r="293" spans="1:21" ht="30.6">
      <c r="A293" s="6">
        <v>43427.569548611107</v>
      </c>
      <c r="B293" s="7" t="str">
        <f>HYPERLINK("https://twitter.com/que_rule","@que_rule")</f>
        <v>@que_rule</v>
      </c>
      <c r="C293" s="8" t="s">
        <v>1395</v>
      </c>
      <c r="D293" s="9" t="s">
        <v>1396</v>
      </c>
      <c r="E293" s="10" t="str">
        <f>HYPERLINK("https://twitter.com/que_rule/status/1065948116409614336","1065948116409614336")</f>
        <v>1065948116409614336</v>
      </c>
      <c r="F293" s="17" t="s">
        <v>1397</v>
      </c>
      <c r="G293" s="11" t="s">
        <v>1398</v>
      </c>
      <c r="H293" s="12"/>
      <c r="I293" s="13">
        <v>1</v>
      </c>
      <c r="J293" s="13">
        <v>0</v>
      </c>
      <c r="K293" s="14" t="str">
        <f t="shared" ref="K293:K295" si="46">HYPERLINK("http://twitter.com/download/android","Twitter for Android")</f>
        <v>Twitter for Android</v>
      </c>
      <c r="L293" s="13">
        <v>4795</v>
      </c>
      <c r="M293" s="13">
        <v>153</v>
      </c>
      <c r="N293" s="13">
        <v>91</v>
      </c>
      <c r="O293" s="15"/>
      <c r="P293" s="6">
        <v>42110.741967592592</v>
      </c>
      <c r="Q293" s="17" t="s">
        <v>283</v>
      </c>
      <c r="R293" s="18" t="s">
        <v>1399</v>
      </c>
      <c r="S293" s="12"/>
      <c r="T293" s="12"/>
      <c r="U293" s="10" t="str">
        <f>HYPERLINK("https://pbs.twimg.com/profile_images/1057897878885203968/xZO7N52k.jpg","View")</f>
        <v>View</v>
      </c>
    </row>
    <row r="294" spans="1:21" ht="40.799999999999997">
      <c r="A294" s="6">
        <v>43427.569490740745</v>
      </c>
      <c r="B294" s="7" t="str">
        <f>HYPERLINK("https://twitter.com/J_EnriqueLeal","@J_EnriqueLeal")</f>
        <v>@J_EnriqueLeal</v>
      </c>
      <c r="C294" s="8" t="s">
        <v>1400</v>
      </c>
      <c r="D294" s="9" t="s">
        <v>1401</v>
      </c>
      <c r="E294" s="10" t="str">
        <f>HYPERLINK("https://twitter.com/J_EnriqueLeal/status/1065948092741181445","1065948092741181445")</f>
        <v>1065948092741181445</v>
      </c>
      <c r="F294" s="12"/>
      <c r="G294" s="12"/>
      <c r="H294" s="12"/>
      <c r="I294" s="13">
        <v>0</v>
      </c>
      <c r="J294" s="13">
        <v>0</v>
      </c>
      <c r="K294" s="14" t="str">
        <f t="shared" si="46"/>
        <v>Twitter for Android</v>
      </c>
      <c r="L294" s="13">
        <v>4</v>
      </c>
      <c r="M294" s="13">
        <v>29</v>
      </c>
      <c r="N294" s="13">
        <v>0</v>
      </c>
      <c r="O294" s="15"/>
      <c r="P294" s="6">
        <v>42691.840682870374</v>
      </c>
      <c r="Q294" s="17" t="s">
        <v>72</v>
      </c>
      <c r="R294" s="18" t="s">
        <v>1402</v>
      </c>
      <c r="S294" s="12"/>
      <c r="T294" s="12"/>
      <c r="U294" s="10" t="str">
        <f>HYPERLINK("https://pbs.twimg.com/profile_images/805019609707507712/WQkzRAGh.jpg","View")</f>
        <v>View</v>
      </c>
    </row>
    <row r="295" spans="1:21" ht="40.799999999999997">
      <c r="A295" s="6">
        <v>43427.569074074076</v>
      </c>
      <c r="B295" s="7" t="str">
        <f>HYPERLINK("https://twitter.com/arachibuty","@arachibuty")</f>
        <v>@arachibuty</v>
      </c>
      <c r="C295" s="8" t="s">
        <v>1274</v>
      </c>
      <c r="D295" s="9" t="s">
        <v>1403</v>
      </c>
      <c r="E295" s="10" t="str">
        <f>HYPERLINK("https://twitter.com/arachibuty/status/1065947940668301312","1065947940668301312")</f>
        <v>1065947940668301312</v>
      </c>
      <c r="F295" s="11" t="s">
        <v>1404</v>
      </c>
      <c r="G295" s="11" t="s">
        <v>1405</v>
      </c>
      <c r="H295" s="12"/>
      <c r="I295" s="13">
        <v>1</v>
      </c>
      <c r="J295" s="13">
        <v>0</v>
      </c>
      <c r="K295" s="14" t="str">
        <f t="shared" si="46"/>
        <v>Twitter for Android</v>
      </c>
      <c r="L295" s="13">
        <v>375</v>
      </c>
      <c r="M295" s="13">
        <v>80</v>
      </c>
      <c r="N295" s="13">
        <v>13</v>
      </c>
      <c r="O295" s="15"/>
      <c r="P295" s="6">
        <v>39939.628576388888</v>
      </c>
      <c r="Q295" s="17" t="s">
        <v>1278</v>
      </c>
      <c r="R295" s="18" t="s">
        <v>1279</v>
      </c>
      <c r="S295" s="12"/>
      <c r="T295" s="12"/>
      <c r="U295" s="10" t="str">
        <f>HYPERLINK("https://pbs.twimg.com/profile_images/958762545891946496/sVbwOUkU.jpg","View")</f>
        <v>View</v>
      </c>
    </row>
    <row r="296" spans="1:21" ht="20.399999999999999">
      <c r="A296" s="6">
        <v>43427.568506944444</v>
      </c>
      <c r="B296" s="7" t="str">
        <f t="shared" ref="B296:B297" si="47">HYPERLINK("https://twitter.com/mjoselavoz","@mjoselavoz")</f>
        <v>@mjoselavoz</v>
      </c>
      <c r="C296" s="8" t="s">
        <v>1406</v>
      </c>
      <c r="D296" s="9" t="s">
        <v>1192</v>
      </c>
      <c r="E296" s="10" t="str">
        <f>HYPERLINK("https://twitter.com/mjoselavoz/status/1065947738515361792","1065947738515361792")</f>
        <v>1065947738515361792</v>
      </c>
      <c r="F296" s="11" t="s">
        <v>1407</v>
      </c>
      <c r="G296" s="12"/>
      <c r="H296" s="12"/>
      <c r="I296" s="13">
        <v>0</v>
      </c>
      <c r="J296" s="13">
        <v>0</v>
      </c>
      <c r="K296" s="14" t="str">
        <f t="shared" ref="K296:K297" si="48">HYPERLINK("http://twitter.com","Twitter Web Client")</f>
        <v>Twitter Web Client</v>
      </c>
      <c r="L296" s="13">
        <v>14</v>
      </c>
      <c r="M296" s="13">
        <v>45</v>
      </c>
      <c r="N296" s="13">
        <v>0</v>
      </c>
      <c r="O296" s="15"/>
      <c r="P296" s="6">
        <v>43360.740937499999</v>
      </c>
      <c r="Q296" s="12"/>
      <c r="R296" s="19"/>
      <c r="S296" s="12"/>
      <c r="T296" s="12"/>
      <c r="U296" s="10" t="str">
        <f t="shared" ref="U296:U297" si="49">HYPERLINK("https://pbs.twimg.com/profile_images/1050770379965440000/rBRDNC_J.jpg","View")</f>
        <v>View</v>
      </c>
    </row>
    <row r="297" spans="1:21" ht="20.399999999999999">
      <c r="A297" s="6">
        <v>43427.568402777775</v>
      </c>
      <c r="B297" s="7" t="str">
        <f t="shared" si="47"/>
        <v>@mjoselavoz</v>
      </c>
      <c r="C297" s="8" t="s">
        <v>1406</v>
      </c>
      <c r="D297" s="9" t="s">
        <v>1192</v>
      </c>
      <c r="E297" s="10" t="str">
        <f>HYPERLINK("https://twitter.com/mjoselavoz/status/1065947701047631872","1065947701047631872")</f>
        <v>1065947701047631872</v>
      </c>
      <c r="F297" s="11" t="s">
        <v>1408</v>
      </c>
      <c r="G297" s="12"/>
      <c r="H297" s="12"/>
      <c r="I297" s="13">
        <v>0</v>
      </c>
      <c r="J297" s="13">
        <v>0</v>
      </c>
      <c r="K297" s="14" t="str">
        <f t="shared" si="48"/>
        <v>Twitter Web Client</v>
      </c>
      <c r="L297" s="13">
        <v>14</v>
      </c>
      <c r="M297" s="13">
        <v>45</v>
      </c>
      <c r="N297" s="13">
        <v>0</v>
      </c>
      <c r="O297" s="15"/>
      <c r="P297" s="6">
        <v>43360.740937499999</v>
      </c>
      <c r="Q297" s="12"/>
      <c r="R297" s="19"/>
      <c r="S297" s="12"/>
      <c r="T297" s="12"/>
      <c r="U297" s="10" t="str">
        <f t="shared" si="49"/>
        <v>View</v>
      </c>
    </row>
    <row r="298" spans="1:21" ht="13.2">
      <c r="A298" s="6">
        <v>43427.568379629629</v>
      </c>
      <c r="B298" s="7" t="str">
        <f>HYPERLINK("https://twitter.com/ALMORBAR","@ALMORBAR")</f>
        <v>@ALMORBAR</v>
      </c>
      <c r="C298" s="8" t="s">
        <v>1409</v>
      </c>
      <c r="D298" s="9" t="s">
        <v>1410</v>
      </c>
      <c r="E298" s="10" t="str">
        <f>HYPERLINK("https://twitter.com/ALMORBAR/status/1065947689572098048","1065947689572098048")</f>
        <v>1065947689572098048</v>
      </c>
      <c r="F298" s="11" t="s">
        <v>1193</v>
      </c>
      <c r="G298" s="12"/>
      <c r="H298" s="12"/>
      <c r="I298" s="13">
        <v>0</v>
      </c>
      <c r="J298" s="13">
        <v>0</v>
      </c>
      <c r="K298" s="14" t="str">
        <f>HYPERLINK("http://www.facebook.com/twitter","Facebook")</f>
        <v>Facebook</v>
      </c>
      <c r="L298" s="13">
        <v>55</v>
      </c>
      <c r="M298" s="13">
        <v>132</v>
      </c>
      <c r="N298" s="13">
        <v>3</v>
      </c>
      <c r="O298" s="15"/>
      <c r="P298" s="6">
        <v>40588.757719907408</v>
      </c>
      <c r="Q298" s="17" t="s">
        <v>1411</v>
      </c>
      <c r="R298" s="18" t="s">
        <v>1412</v>
      </c>
      <c r="S298" s="12"/>
      <c r="T298" s="12"/>
      <c r="U298" s="10" t="str">
        <f>HYPERLINK("https://pbs.twimg.com/profile_images/2898864607/8fe623f22e13f0e8885671df81fb3ae7.jpeg","View")</f>
        <v>View</v>
      </c>
    </row>
    <row r="299" spans="1:21" ht="20.399999999999999">
      <c r="A299" s="6">
        <v>43427.568067129629</v>
      </c>
      <c r="B299" s="7" t="str">
        <f>HYPERLINK("https://twitter.com/vicrock1947","@vicrock1947")</f>
        <v>@vicrock1947</v>
      </c>
      <c r="C299" s="8" t="s">
        <v>1413</v>
      </c>
      <c r="D299" s="9" t="s">
        <v>1414</v>
      </c>
      <c r="E299" s="10" t="str">
        <f>HYPERLINK("https://twitter.com/vicrock1947/status/1065947576787247104","1065947576787247104")</f>
        <v>1065947576787247104</v>
      </c>
      <c r="F299" s="12"/>
      <c r="G299" s="12"/>
      <c r="H299" s="12"/>
      <c r="I299" s="13">
        <v>1</v>
      </c>
      <c r="J299" s="13">
        <v>1</v>
      </c>
      <c r="K299" s="14" t="str">
        <f>HYPERLINK("http://twitter.com","Twitter Web Client")</f>
        <v>Twitter Web Client</v>
      </c>
      <c r="L299" s="13">
        <v>1418</v>
      </c>
      <c r="M299" s="13">
        <v>1428</v>
      </c>
      <c r="N299" s="13">
        <v>2</v>
      </c>
      <c r="O299" s="15"/>
      <c r="P299" s="6">
        <v>42878.561157407406</v>
      </c>
      <c r="Q299" s="12"/>
      <c r="R299" s="19"/>
      <c r="S299" s="12"/>
      <c r="T299" s="12"/>
      <c r="U299" s="10" t="str">
        <f>HYPERLINK("https://pbs.twimg.com/profile_images/923505794078904321/K0hMi8hx.jpg","View")</f>
        <v>View</v>
      </c>
    </row>
    <row r="300" spans="1:21" ht="51">
      <c r="A300" s="6">
        <v>43427.567835648151</v>
      </c>
      <c r="B300" s="7" t="str">
        <f>HYPERLINK("https://twitter.com/eddyElGallo","@eddyElGallo")</f>
        <v>@eddyElGallo</v>
      </c>
      <c r="C300" s="8" t="s">
        <v>1415</v>
      </c>
      <c r="D300" s="9" t="s">
        <v>1416</v>
      </c>
      <c r="E300" s="10" t="str">
        <f>HYPERLINK("https://twitter.com/eddyElGallo/status/1065947495618904064","1065947495618904064")</f>
        <v>1065947495618904064</v>
      </c>
      <c r="F300" s="11" t="s">
        <v>1417</v>
      </c>
      <c r="G300" s="11" t="s">
        <v>1418</v>
      </c>
      <c r="H300" s="12"/>
      <c r="I300" s="13">
        <v>0</v>
      </c>
      <c r="J300" s="13">
        <v>1</v>
      </c>
      <c r="K300" s="14" t="str">
        <f>HYPERLINK("https://dlvrit.com/","dlvr.it")</f>
        <v>dlvr.it</v>
      </c>
      <c r="L300" s="13">
        <v>5875</v>
      </c>
      <c r="M300" s="13">
        <v>2848</v>
      </c>
      <c r="N300" s="13">
        <v>143</v>
      </c>
      <c r="O300" s="15"/>
      <c r="P300" s="6">
        <v>40948.607210648144</v>
      </c>
      <c r="Q300" s="17" t="s">
        <v>40</v>
      </c>
      <c r="R300" s="18" t="s">
        <v>1419</v>
      </c>
      <c r="S300" s="11" t="s">
        <v>1420</v>
      </c>
      <c r="T300" s="12"/>
      <c r="U300" s="10" t="str">
        <f>HYPERLINK("https://pbs.twimg.com/profile_images/815286696669577216/U0F3OEZb.jpg","View")</f>
        <v>View</v>
      </c>
    </row>
    <row r="301" spans="1:21" ht="51">
      <c r="A301" s="6">
        <v>43427.567754629628</v>
      </c>
      <c r="B301" s="7" t="str">
        <f>HYPERLINK("https://twitter.com/EspanaJusta10","@EspanaJusta10")</f>
        <v>@EspanaJusta10</v>
      </c>
      <c r="C301" s="8" t="s">
        <v>778</v>
      </c>
      <c r="D301" s="9" t="s">
        <v>1421</v>
      </c>
      <c r="E301" s="10" t="str">
        <f>HYPERLINK("https://twitter.com/EspanaJusta10/status/1065947465579446272","1065947465579446272")</f>
        <v>1065947465579446272</v>
      </c>
      <c r="F301" s="11" t="s">
        <v>1422</v>
      </c>
      <c r="G301" s="12"/>
      <c r="H301" s="12"/>
      <c r="I301" s="13">
        <v>0</v>
      </c>
      <c r="J301" s="13">
        <v>1</v>
      </c>
      <c r="K301" s="14" t="str">
        <f>HYPERLINK("http://twitter.com","Twitter Web Client")</f>
        <v>Twitter Web Client</v>
      </c>
      <c r="L301" s="13">
        <v>251</v>
      </c>
      <c r="M301" s="13">
        <v>784</v>
      </c>
      <c r="N301" s="13">
        <v>0</v>
      </c>
      <c r="O301" s="15"/>
      <c r="P301" s="6">
        <v>43384.003148148149</v>
      </c>
      <c r="Q301" s="17" t="s">
        <v>27</v>
      </c>
      <c r="R301" s="18" t="s">
        <v>781</v>
      </c>
      <c r="S301" s="12"/>
      <c r="T301" s="12"/>
      <c r="U301" s="10" t="str">
        <f>HYPERLINK("https://pbs.twimg.com/profile_images/1050164153313320960/E5l4rbsK.jpg","View")</f>
        <v>View</v>
      </c>
    </row>
    <row r="302" spans="1:21" ht="30.6">
      <c r="A302" s="6">
        <v>43427.567349537036</v>
      </c>
      <c r="B302" s="7" t="str">
        <f>HYPERLINK("https://twitter.com/G4toSchroding3r","@G4toSchroding3r")</f>
        <v>@G4toSchroding3r</v>
      </c>
      <c r="C302" s="8" t="s">
        <v>1423</v>
      </c>
      <c r="D302" s="9" t="s">
        <v>1424</v>
      </c>
      <c r="E302" s="10" t="str">
        <f>HYPERLINK("https://twitter.com/G4toSchroding3r/status/1065947315918315521","1065947315918315521")</f>
        <v>1065947315918315521</v>
      </c>
      <c r="F302" s="12"/>
      <c r="G302" s="11" t="s">
        <v>1425</v>
      </c>
      <c r="H302" s="12"/>
      <c r="I302" s="13">
        <v>0</v>
      </c>
      <c r="J302" s="13">
        <v>0</v>
      </c>
      <c r="K302" s="14" t="str">
        <f>HYPERLINK("http://twitter.com/download/android","Twitter for Android")</f>
        <v>Twitter for Android</v>
      </c>
      <c r="L302" s="13">
        <v>69</v>
      </c>
      <c r="M302" s="13">
        <v>73</v>
      </c>
      <c r="N302" s="13">
        <v>0</v>
      </c>
      <c r="O302" s="15"/>
      <c r="P302" s="6">
        <v>43359.824594907404</v>
      </c>
      <c r="Q302" s="17" t="s">
        <v>28</v>
      </c>
      <c r="R302" s="18" t="s">
        <v>1426</v>
      </c>
      <c r="S302" s="12"/>
      <c r="T302" s="12"/>
      <c r="U302" s="10" t="str">
        <f>HYPERLINK("https://pbs.twimg.com/profile_images/1064991129928650753/Jy5keFW0.jpg","View")</f>
        <v>View</v>
      </c>
    </row>
    <row r="303" spans="1:21" ht="51">
      <c r="A303" s="6">
        <v>43427.567048611112</v>
      </c>
      <c r="B303" s="7" t="str">
        <f>HYPERLINK("https://twitter.com/yoanisanchez","@yoanisanchez")</f>
        <v>@yoanisanchez</v>
      </c>
      <c r="C303" s="8" t="s">
        <v>170</v>
      </c>
      <c r="D303" s="9" t="s">
        <v>1427</v>
      </c>
      <c r="E303" s="10" t="str">
        <f>HYPERLINK("https://twitter.com/yoanisanchez/status/1065947208414052352","1065947208414052352")</f>
        <v>1065947208414052352</v>
      </c>
      <c r="F303" s="12"/>
      <c r="G303" s="11" t="s">
        <v>1375</v>
      </c>
      <c r="H303" s="12"/>
      <c r="I303" s="13">
        <v>38</v>
      </c>
      <c r="J303" s="13">
        <v>81</v>
      </c>
      <c r="K303" s="14" t="str">
        <f>HYPERLINK("http://twitter.com","Twitter Web Client")</f>
        <v>Twitter Web Client</v>
      </c>
      <c r="L303" s="13">
        <v>756016</v>
      </c>
      <c r="M303" s="13">
        <v>83952</v>
      </c>
      <c r="N303" s="13">
        <v>9394</v>
      </c>
      <c r="O303" s="16" t="s">
        <v>26</v>
      </c>
      <c r="P303" s="6">
        <v>39685.015219907407</v>
      </c>
      <c r="Q303" s="17" t="s">
        <v>40</v>
      </c>
      <c r="R303" s="18" t="s">
        <v>173</v>
      </c>
      <c r="S303" s="11" t="s">
        <v>174</v>
      </c>
      <c r="T303" s="12"/>
      <c r="U303" s="10" t="str">
        <f>HYPERLINK("https://pbs.twimg.com/profile_images/932259310108753920/LQ1YpmBM.jpg","View")</f>
        <v>View</v>
      </c>
    </row>
    <row r="304" spans="1:21" ht="71.400000000000006">
      <c r="A304" s="6">
        <v>43427.566562499997</v>
      </c>
      <c r="B304" s="7" t="str">
        <f>HYPERLINK("https://twitter.com/SinPoder10","@SinPoder10")</f>
        <v>@SinPoder10</v>
      </c>
      <c r="C304" s="8" t="s">
        <v>1428</v>
      </c>
      <c r="D304" s="9" t="s">
        <v>1429</v>
      </c>
      <c r="E304" s="10" t="str">
        <f>HYPERLINK("https://twitter.com/SinPoder10/status/1065947032328826880","1065947032328826880")</f>
        <v>1065947032328826880</v>
      </c>
      <c r="F304" s="11" t="s">
        <v>1430</v>
      </c>
      <c r="G304" s="12"/>
      <c r="H304" s="12"/>
      <c r="I304" s="13">
        <v>0</v>
      </c>
      <c r="J304" s="13">
        <v>0</v>
      </c>
      <c r="K304" s="14" t="str">
        <f>HYPERLINK("http://twitter.com/download/android","Twitter for Android")</f>
        <v>Twitter for Android</v>
      </c>
      <c r="L304" s="13">
        <v>1034</v>
      </c>
      <c r="M304" s="13">
        <v>1648</v>
      </c>
      <c r="N304" s="13">
        <v>17</v>
      </c>
      <c r="O304" s="15"/>
      <c r="P304" s="6">
        <v>40025.563240740739</v>
      </c>
      <c r="Q304" s="12"/>
      <c r="R304" s="19"/>
      <c r="S304" s="12"/>
      <c r="T304" s="12"/>
      <c r="U304" s="10" t="str">
        <f>HYPERLINK("https://pbs.twimg.com/profile_images/1043478051781263360/gmKo82wf.jpg","View")</f>
        <v>View</v>
      </c>
    </row>
    <row r="305" spans="1:21" ht="40.799999999999997">
      <c r="A305" s="6">
        <v>43427.565300925926</v>
      </c>
      <c r="B305" s="7" t="str">
        <f>HYPERLINK("https://twitter.com/elestimulo","@elestimulo")</f>
        <v>@elestimulo</v>
      </c>
      <c r="C305" s="8" t="s">
        <v>1431</v>
      </c>
      <c r="D305" s="9" t="s">
        <v>1432</v>
      </c>
      <c r="E305" s="10" t="str">
        <f>HYPERLINK("https://twitter.com/elestimulo/status/1065946574558294017","1065946574558294017")</f>
        <v>1065946574558294017</v>
      </c>
      <c r="F305" s="11" t="s">
        <v>1433</v>
      </c>
      <c r="G305" s="11" t="s">
        <v>1308</v>
      </c>
      <c r="H305" s="12"/>
      <c r="I305" s="13">
        <v>0</v>
      </c>
      <c r="J305" s="13">
        <v>1</v>
      </c>
      <c r="K305" s="14" t="str">
        <f>HYPERLINK("https://buffer.com","Buffer")</f>
        <v>Buffer</v>
      </c>
      <c r="L305" s="13">
        <v>177191</v>
      </c>
      <c r="M305" s="13">
        <v>3520</v>
      </c>
      <c r="N305" s="13">
        <v>1314</v>
      </c>
      <c r="O305" s="16" t="s">
        <v>26</v>
      </c>
      <c r="P305" s="6">
        <v>41393.769074074073</v>
      </c>
      <c r="Q305" s="12"/>
      <c r="R305" s="18" t="s">
        <v>1434</v>
      </c>
      <c r="S305" s="11" t="s">
        <v>1435</v>
      </c>
      <c r="T305" s="12"/>
      <c r="U305" s="10" t="str">
        <f>HYPERLINK("https://pbs.twimg.com/profile_images/1058387729506017281/joGdI3H4.jpg","View")</f>
        <v>View</v>
      </c>
    </row>
    <row r="306" spans="1:21" ht="30.6">
      <c r="A306" s="6">
        <v>43427.564849537041</v>
      </c>
      <c r="B306" s="7" t="str">
        <f>HYPERLINK("https://twitter.com/Gallato7","@Gallato7")</f>
        <v>@Gallato7</v>
      </c>
      <c r="C306" s="8" t="s">
        <v>1436</v>
      </c>
      <c r="D306" s="9" t="s">
        <v>1437</v>
      </c>
      <c r="E306" s="10" t="str">
        <f>HYPERLINK("https://twitter.com/Gallato7/status/1065946410204446720","1065946410204446720")</f>
        <v>1065946410204446720</v>
      </c>
      <c r="F306" s="12"/>
      <c r="G306" s="11" t="s">
        <v>1438</v>
      </c>
      <c r="H306" s="12"/>
      <c r="I306" s="13">
        <v>27</v>
      </c>
      <c r="J306" s="13">
        <v>20</v>
      </c>
      <c r="K306" s="14" t="str">
        <f t="shared" ref="K306:K307" si="50">HYPERLINK("http://twitter.com","Twitter Web Client")</f>
        <v>Twitter Web Client</v>
      </c>
      <c r="L306" s="13">
        <v>5861</v>
      </c>
      <c r="M306" s="13">
        <v>376</v>
      </c>
      <c r="N306" s="13">
        <v>65</v>
      </c>
      <c r="O306" s="15"/>
      <c r="P306" s="6">
        <v>41389.549270833333</v>
      </c>
      <c r="Q306" s="17" t="s">
        <v>1439</v>
      </c>
      <c r="R306" s="18" t="s">
        <v>1440</v>
      </c>
      <c r="S306" s="11" t="s">
        <v>1441</v>
      </c>
      <c r="T306" s="12"/>
      <c r="U306" s="10" t="str">
        <f>HYPERLINK("https://pbs.twimg.com/profile_images/907359993682374656/hxYWjP_Z.jpg","View")</f>
        <v>View</v>
      </c>
    </row>
    <row r="307" spans="1:21" ht="20.399999999999999">
      <c r="A307" s="6">
        <v>43427.564097222217</v>
      </c>
      <c r="B307" s="7" t="str">
        <f>HYPERLINK("https://twitter.com/COPE_Albacete","@COPE_Albacete")</f>
        <v>@COPE_Albacete</v>
      </c>
      <c r="C307" s="8" t="s">
        <v>1442</v>
      </c>
      <c r="D307" s="9" t="s">
        <v>1443</v>
      </c>
      <c r="E307" s="10" t="str">
        <f>HYPERLINK("https://twitter.com/COPE_Albacete/status/1065946137574674432","1065946137574674432")</f>
        <v>1065946137574674432</v>
      </c>
      <c r="F307" s="11" t="s">
        <v>1444</v>
      </c>
      <c r="G307" s="11" t="s">
        <v>1445</v>
      </c>
      <c r="H307" s="12"/>
      <c r="I307" s="13">
        <v>0</v>
      </c>
      <c r="J307" s="13">
        <v>0</v>
      </c>
      <c r="K307" s="14" t="str">
        <f t="shared" si="50"/>
        <v>Twitter Web Client</v>
      </c>
      <c r="L307" s="13">
        <v>1738</v>
      </c>
      <c r="M307" s="13">
        <v>601</v>
      </c>
      <c r="N307" s="13">
        <v>27</v>
      </c>
      <c r="O307" s="15"/>
      <c r="P307" s="6">
        <v>41980.750752314816</v>
      </c>
      <c r="Q307" s="17" t="s">
        <v>1446</v>
      </c>
      <c r="R307" s="18" t="s">
        <v>1447</v>
      </c>
      <c r="S307" s="12"/>
      <c r="T307" s="12"/>
      <c r="U307" s="10" t="str">
        <f>HYPERLINK("https://pbs.twimg.com/profile_images/549654202180325376/8W5YtbP0.jpeg","View")</f>
        <v>View</v>
      </c>
    </row>
    <row r="308" spans="1:21" ht="40.799999999999997">
      <c r="A308" s="6">
        <v>43427.564085648148</v>
      </c>
      <c r="B308" s="7" t="str">
        <f>HYPERLINK("https://twitter.com/PedroLongHair","@PedroLongHair")</f>
        <v>@PedroLongHair</v>
      </c>
      <c r="C308" s="8" t="s">
        <v>1448</v>
      </c>
      <c r="D308" s="9" t="s">
        <v>1449</v>
      </c>
      <c r="E308" s="10" t="str">
        <f>HYPERLINK("https://twitter.com/PedroLongHair/status/1065946134831644672","1065946134831644672")</f>
        <v>1065946134831644672</v>
      </c>
      <c r="F308" s="12"/>
      <c r="G308" s="11" t="s">
        <v>1450</v>
      </c>
      <c r="H308" s="12"/>
      <c r="I308" s="13">
        <v>12</v>
      </c>
      <c r="J308" s="13">
        <v>15</v>
      </c>
      <c r="K308" s="14" t="str">
        <f>HYPERLINK("http://twitter.com/download/android","Twitter for Android")</f>
        <v>Twitter for Android</v>
      </c>
      <c r="L308" s="13">
        <v>437</v>
      </c>
      <c r="M308" s="13">
        <v>431</v>
      </c>
      <c r="N308" s="13">
        <v>1</v>
      </c>
      <c r="O308" s="15"/>
      <c r="P308" s="6">
        <v>43009.977812500001</v>
      </c>
      <c r="Q308" s="17" t="s">
        <v>1451</v>
      </c>
      <c r="R308" s="18" t="s">
        <v>1452</v>
      </c>
      <c r="S308" s="12"/>
      <c r="T308" s="12"/>
      <c r="U308" s="10" t="str">
        <f>HYPERLINK("https://pbs.twimg.com/profile_images/1064247702349856769/vdRewy3j.jpg","View")</f>
        <v>View</v>
      </c>
    </row>
    <row r="309" spans="1:21" ht="40.799999999999997">
      <c r="A309" s="6">
        <v>43427.564050925925</v>
      </c>
      <c r="B309" s="7" t="str">
        <f>HYPERLINK("https://twitter.com/Cs_CLM","@Cs_CLM")</f>
        <v>@Cs_CLM</v>
      </c>
      <c r="C309" s="8" t="s">
        <v>1453</v>
      </c>
      <c r="D309" s="9" t="s">
        <v>1454</v>
      </c>
      <c r="E309" s="10" t="str">
        <f>HYPERLINK("https://twitter.com/Cs_CLM/status/1065946120524890113","1065946120524890113")</f>
        <v>1065946120524890113</v>
      </c>
      <c r="F309" s="12"/>
      <c r="G309" s="11" t="s">
        <v>1455</v>
      </c>
      <c r="H309" s="12"/>
      <c r="I309" s="13">
        <v>5</v>
      </c>
      <c r="J309" s="13">
        <v>5</v>
      </c>
      <c r="K309" s="14" t="str">
        <f>HYPERLINK("http://twitter.com/download/iphone","Twitter for iPhone")</f>
        <v>Twitter for iPhone</v>
      </c>
      <c r="L309" s="13">
        <v>4223</v>
      </c>
      <c r="M309" s="13">
        <v>628</v>
      </c>
      <c r="N309" s="13">
        <v>72</v>
      </c>
      <c r="O309" s="15"/>
      <c r="P309" s="6">
        <v>42106.981793981482</v>
      </c>
      <c r="Q309" s="17" t="s">
        <v>1456</v>
      </c>
      <c r="R309" s="18" t="s">
        <v>1457</v>
      </c>
      <c r="S309" s="11" t="s">
        <v>1458</v>
      </c>
      <c r="T309" s="12"/>
      <c r="U309" s="10" t="str">
        <f>HYPERLINK("https://pbs.twimg.com/profile_images/1053405513923416064/Z9jG76VP.jpg","View")</f>
        <v>View</v>
      </c>
    </row>
    <row r="310" spans="1:21" ht="40.799999999999997">
      <c r="A310" s="6">
        <v>43427.563449074078</v>
      </c>
      <c r="B310" s="7" t="str">
        <f>HYPERLINK("https://twitter.com/NavOckham","@NavOckham")</f>
        <v>@NavOckham</v>
      </c>
      <c r="C310" s="8" t="s">
        <v>1459</v>
      </c>
      <c r="D310" s="9" t="s">
        <v>1460</v>
      </c>
      <c r="E310" s="10" t="str">
        <f>HYPERLINK("https://twitter.com/NavOckham/status/1065945905445117953","1065945905445117953")</f>
        <v>1065945905445117953</v>
      </c>
      <c r="F310" s="11" t="s">
        <v>1461</v>
      </c>
      <c r="G310" s="12"/>
      <c r="H310" s="12"/>
      <c r="I310" s="13">
        <v>0</v>
      </c>
      <c r="J310" s="13">
        <v>0</v>
      </c>
      <c r="K310" s="14" t="str">
        <f>HYPERLINK("http://www.facebook.com/twitter","Facebook")</f>
        <v>Facebook</v>
      </c>
      <c r="L310" s="13">
        <v>20</v>
      </c>
      <c r="M310" s="13">
        <v>151</v>
      </c>
      <c r="N310" s="13">
        <v>0</v>
      </c>
      <c r="O310" s="15"/>
      <c r="P310" s="6">
        <v>42315.376967592594</v>
      </c>
      <c r="Q310" s="17" t="s">
        <v>1462</v>
      </c>
      <c r="R310" s="18" t="s">
        <v>1463</v>
      </c>
      <c r="S310" s="11" t="s">
        <v>1464</v>
      </c>
      <c r="T310" s="12"/>
      <c r="U310" s="10" t="str">
        <f>HYPERLINK("https://pbs.twimg.com/profile_images/824336306318745600/RD-rO-PK.jpg","View")</f>
        <v>View</v>
      </c>
    </row>
    <row r="311" spans="1:21" ht="30.6">
      <c r="A311" s="6">
        <v>43427.559479166666</v>
      </c>
      <c r="B311" s="7" t="str">
        <f>HYPERLINK("https://twitter.com/uruguayaltoque","@uruguayaltoque")</f>
        <v>@uruguayaltoque</v>
      </c>
      <c r="C311" s="8" t="s">
        <v>1465</v>
      </c>
      <c r="D311" s="9" t="s">
        <v>1466</v>
      </c>
      <c r="E311" s="10" t="str">
        <f>HYPERLINK("https://twitter.com/uruguayaltoque/status/1065944466765344768","1065944466765344768")</f>
        <v>1065944466765344768</v>
      </c>
      <c r="F311" s="11" t="s">
        <v>1467</v>
      </c>
      <c r="G311" s="11" t="s">
        <v>1468</v>
      </c>
      <c r="H311" s="12"/>
      <c r="I311" s="13">
        <v>0</v>
      </c>
      <c r="J311" s="13">
        <v>0</v>
      </c>
      <c r="K311" s="14" t="str">
        <f>HYPERLINK("http://publicize.wp.com/","WordPress.com")</f>
        <v>WordPress.com</v>
      </c>
      <c r="L311" s="13">
        <v>135</v>
      </c>
      <c r="M311" s="13">
        <v>438</v>
      </c>
      <c r="N311" s="13">
        <v>1</v>
      </c>
      <c r="O311" s="15"/>
      <c r="P311" s="6">
        <v>41047.71292824074</v>
      </c>
      <c r="Q311" s="17" t="s">
        <v>1469</v>
      </c>
      <c r="R311" s="18" t="s">
        <v>1470</v>
      </c>
      <c r="S311" s="11" t="s">
        <v>1471</v>
      </c>
      <c r="T311" s="12"/>
      <c r="U311" s="10" t="str">
        <f>HYPERLINK("https://pbs.twimg.com/profile_images/982347271856570368/vV8fS3nG.jpg","View")</f>
        <v>View</v>
      </c>
    </row>
    <row r="312" spans="1:21" ht="20.399999999999999">
      <c r="A312" s="6">
        <v>43427.559282407412</v>
      </c>
      <c r="B312" s="7" t="str">
        <f>HYPERLINK("https://twitter.com/edwarsqueen","@edwarsqueen")</f>
        <v>@edwarsqueen</v>
      </c>
      <c r="C312" s="8" t="s">
        <v>1472</v>
      </c>
      <c r="D312" s="9" t="s">
        <v>1473</v>
      </c>
      <c r="E312" s="10" t="str">
        <f>HYPERLINK("https://twitter.com/edwarsqueen/status/1065944393901895681","1065944393901895681")</f>
        <v>1065944393901895681</v>
      </c>
      <c r="F312" s="17" t="s">
        <v>1474</v>
      </c>
      <c r="G312" s="12"/>
      <c r="H312" s="12"/>
      <c r="I312" s="13">
        <v>0</v>
      </c>
      <c r="J312" s="13">
        <v>0</v>
      </c>
      <c r="K312" s="14" t="str">
        <f>HYPERLINK("http://twitter.com","Twitter Web Client")</f>
        <v>Twitter Web Client</v>
      </c>
      <c r="L312" s="13">
        <v>2816</v>
      </c>
      <c r="M312" s="13">
        <v>2044</v>
      </c>
      <c r="N312" s="13">
        <v>15</v>
      </c>
      <c r="O312" s="15"/>
      <c r="P312" s="6">
        <v>41185.064120370371</v>
      </c>
      <c r="Q312" s="12"/>
      <c r="R312" s="18" t="s">
        <v>1475</v>
      </c>
      <c r="S312" s="12"/>
      <c r="T312" s="12"/>
      <c r="U312" s="10" t="str">
        <f>HYPERLINK("https://pbs.twimg.com/profile_images/1058872526800084992/mw58E0b2.jpg","View")</f>
        <v>View</v>
      </c>
    </row>
    <row r="313" spans="1:21" ht="30.6">
      <c r="A313" s="6">
        <v>43427.559166666666</v>
      </c>
      <c r="B313" s="7" t="str">
        <f>HYPERLINK("https://twitter.com/cfv1961","@cfv1961")</f>
        <v>@cfv1961</v>
      </c>
      <c r="C313" s="8" t="s">
        <v>1476</v>
      </c>
      <c r="D313" s="9" t="s">
        <v>1477</v>
      </c>
      <c r="E313" s="10" t="str">
        <f>HYPERLINK("https://twitter.com/cfv1961/status/1065944353934319617","1065944353934319617")</f>
        <v>1065944353934319617</v>
      </c>
      <c r="F313" s="11" t="s">
        <v>1478</v>
      </c>
      <c r="G313" s="12"/>
      <c r="H313" s="12"/>
      <c r="I313" s="13">
        <v>0</v>
      </c>
      <c r="J313" s="13">
        <v>0</v>
      </c>
      <c r="K313" s="14" t="str">
        <f>HYPERLINK("https://buffer.com","Buffer")</f>
        <v>Buffer</v>
      </c>
      <c r="L313" s="13">
        <v>500</v>
      </c>
      <c r="M313" s="13">
        <v>400</v>
      </c>
      <c r="N313" s="13">
        <v>62</v>
      </c>
      <c r="O313" s="15"/>
      <c r="P313" s="6">
        <v>40440.466770833329</v>
      </c>
      <c r="Q313" s="17" t="s">
        <v>27</v>
      </c>
      <c r="R313" s="18" t="s">
        <v>1479</v>
      </c>
      <c r="S313" s="12"/>
      <c r="T313" s="12"/>
      <c r="U313" s="10" t="str">
        <f>HYPERLINK("https://pbs.twimg.com/profile_images/986789273058922497/MO8otj8p.jpg","View")</f>
        <v>View</v>
      </c>
    </row>
    <row r="314" spans="1:21" ht="13.2">
      <c r="A314" s="6">
        <v>43427.559027777781</v>
      </c>
      <c r="B314" s="7" t="str">
        <f>HYPERLINK("https://twitter.com/jctrujillom","@jctrujillom")</f>
        <v>@jctrujillom</v>
      </c>
      <c r="C314" s="8" t="s">
        <v>1480</v>
      </c>
      <c r="D314" s="9" t="s">
        <v>1481</v>
      </c>
      <c r="E314" s="10" t="str">
        <f>HYPERLINK("https://twitter.com/jctrujillom/status/1065944301530742784","1065944301530742784")</f>
        <v>1065944301530742784</v>
      </c>
      <c r="F314" s="11" t="s">
        <v>1482</v>
      </c>
      <c r="G314" s="12"/>
      <c r="H314" s="12"/>
      <c r="I314" s="13">
        <v>0</v>
      </c>
      <c r="J314" s="13">
        <v>0</v>
      </c>
      <c r="K314" s="14" t="str">
        <f>HYPERLINK("http://www.facebook.com/twitter","Facebook")</f>
        <v>Facebook</v>
      </c>
      <c r="L314" s="13">
        <v>610</v>
      </c>
      <c r="M314" s="13">
        <v>1311</v>
      </c>
      <c r="N314" s="13">
        <v>11</v>
      </c>
      <c r="O314" s="15"/>
      <c r="P314" s="6">
        <v>41048.772152777776</v>
      </c>
      <c r="Q314" s="17" t="s">
        <v>1484</v>
      </c>
      <c r="R314" s="18" t="s">
        <v>1485</v>
      </c>
      <c r="S314" s="11" t="s">
        <v>1486</v>
      </c>
      <c r="T314" s="12"/>
      <c r="U314" s="10" t="str">
        <f>HYPERLINK("https://pbs.twimg.com/profile_images/1020801033042264064/cBRUgmfz.jpg","View")</f>
        <v>View</v>
      </c>
    </row>
    <row r="315" spans="1:21" ht="20.399999999999999">
      <c r="A315" s="6">
        <v>43427.558298611111</v>
      </c>
      <c r="B315" s="7" t="str">
        <f>HYPERLINK("https://twitter.com/Moncloa","@Moncloa")</f>
        <v>@Moncloa</v>
      </c>
      <c r="C315" s="8" t="s">
        <v>1487</v>
      </c>
      <c r="D315" s="9" t="s">
        <v>1488</v>
      </c>
      <c r="E315" s="10" t="str">
        <f>HYPERLINK("https://twitter.com/Moncloa/status/1065944039021719553","1065944039021719553")</f>
        <v>1065944039021719553</v>
      </c>
      <c r="F315" s="11" t="s">
        <v>1489</v>
      </c>
      <c r="G315" s="12"/>
      <c r="H315" s="12"/>
      <c r="I315" s="13">
        <v>0</v>
      </c>
      <c r="J315" s="13">
        <v>0</v>
      </c>
      <c r="K315" s="14" t="str">
        <f>HYPERLINK("http://www.gkopu.com/books","MicroContent")</f>
        <v>MicroContent</v>
      </c>
      <c r="L315" s="13">
        <v>9324</v>
      </c>
      <c r="M315" s="13">
        <v>1</v>
      </c>
      <c r="N315" s="13">
        <v>42</v>
      </c>
      <c r="O315" s="15"/>
      <c r="P315" s="6">
        <v>40723.496319444443</v>
      </c>
      <c r="Q315" s="17" t="s">
        <v>28</v>
      </c>
      <c r="R315" s="18" t="s">
        <v>1490</v>
      </c>
      <c r="S315" s="12"/>
      <c r="T315" s="12"/>
      <c r="U315" s="10" t="str">
        <f>HYPERLINK("https://pbs.twimg.com/profile_images/2272310074/v0xjmozqhpv90d675qs9.jpeg","View")</f>
        <v>View</v>
      </c>
    </row>
    <row r="316" spans="1:21" ht="51">
      <c r="A316" s="6">
        <v>43427.557488425926</v>
      </c>
      <c r="B316" s="7" t="str">
        <f>HYPERLINK("https://twitter.com/carcelator","@carcelator")</f>
        <v>@carcelator</v>
      </c>
      <c r="C316" s="8" t="s">
        <v>1491</v>
      </c>
      <c r="D316" s="9" t="s">
        <v>1492</v>
      </c>
      <c r="E316" s="10" t="str">
        <f>HYPERLINK("https://twitter.com/carcelator/status/1065943743784775682","1065943743784775682")</f>
        <v>1065943743784775682</v>
      </c>
      <c r="F316" s="11" t="s">
        <v>1493</v>
      </c>
      <c r="G316" s="12"/>
      <c r="H316" s="12"/>
      <c r="I316" s="13">
        <v>2</v>
      </c>
      <c r="J316" s="13">
        <v>2</v>
      </c>
      <c r="K316" s="14" t="str">
        <f>HYPERLINK("http://twitter.com/download/android","Twitter for Android")</f>
        <v>Twitter for Android</v>
      </c>
      <c r="L316" s="13">
        <v>1080</v>
      </c>
      <c r="M316" s="13">
        <v>979</v>
      </c>
      <c r="N316" s="13">
        <v>0</v>
      </c>
      <c r="O316" s="15"/>
      <c r="P316" s="6">
        <v>43209.593599537038</v>
      </c>
      <c r="Q316" s="17" t="s">
        <v>1494</v>
      </c>
      <c r="R316" s="18" t="s">
        <v>1495</v>
      </c>
      <c r="S316" s="12"/>
      <c r="T316" s="12"/>
      <c r="U316" s="10" t="str">
        <f>HYPERLINK("https://pbs.twimg.com/profile_images/1057562733988798464/NVHu_6Bc.jpg","View")</f>
        <v>View</v>
      </c>
    </row>
    <row r="317" spans="1:21" ht="30.6">
      <c r="A317" s="6">
        <v>43427.55741898148</v>
      </c>
      <c r="B317" s="7" t="str">
        <f>HYPERLINK("https://twitter.com/RadioYa_es","@RadioYa_es")</f>
        <v>@RadioYa_es</v>
      </c>
      <c r="C317" s="8" t="s">
        <v>1496</v>
      </c>
      <c r="D317" s="9" t="s">
        <v>1497</v>
      </c>
      <c r="E317" s="10" t="str">
        <f>HYPERLINK("https://twitter.com/RadioYa_es/status/1065943717926891522","1065943717926891522")</f>
        <v>1065943717926891522</v>
      </c>
      <c r="F317" s="11" t="s">
        <v>1498</v>
      </c>
      <c r="G317" s="12"/>
      <c r="H317" s="12"/>
      <c r="I317" s="13">
        <v>5</v>
      </c>
      <c r="J317" s="13">
        <v>2</v>
      </c>
      <c r="K317" s="14" t="str">
        <f>HYPERLINK("https://about.twitter.com/products/tweetdeck","TweetDeck")</f>
        <v>TweetDeck</v>
      </c>
      <c r="L317" s="13">
        <v>3069</v>
      </c>
      <c r="M317" s="13">
        <v>47</v>
      </c>
      <c r="N317" s="13">
        <v>28</v>
      </c>
      <c r="O317" s="15"/>
      <c r="P317" s="6">
        <v>42727.573912037042</v>
      </c>
      <c r="Q317" s="17" t="s">
        <v>141</v>
      </c>
      <c r="R317" s="19"/>
      <c r="S317" s="11" t="s">
        <v>1499</v>
      </c>
      <c r="T317" s="12"/>
      <c r="U317" s="10" t="str">
        <f>HYPERLINK("https://pbs.twimg.com/profile_images/822093816501047296/1ScOQfuu.jpg","View")</f>
        <v>View</v>
      </c>
    </row>
    <row r="318" spans="1:21" ht="30.6">
      <c r="A318" s="6">
        <v>43427.556238425925</v>
      </c>
      <c r="B318" s="7" t="str">
        <f>HYPERLINK("https://twitter.com/PasoDeTi3","@PasoDeTi3")</f>
        <v>@PasoDeTi3</v>
      </c>
      <c r="C318" s="8" t="s">
        <v>1500</v>
      </c>
      <c r="D318" s="9" t="s">
        <v>1501</v>
      </c>
      <c r="E318" s="10" t="str">
        <f>HYPERLINK("https://twitter.com/PasoDeTi3/status/1065943291697483776","1065943291697483776")</f>
        <v>1065943291697483776</v>
      </c>
      <c r="F318" s="12"/>
      <c r="G318" s="11" t="s">
        <v>1502</v>
      </c>
      <c r="H318" s="12"/>
      <c r="I318" s="13">
        <v>6</v>
      </c>
      <c r="J318" s="13">
        <v>2</v>
      </c>
      <c r="K318" s="14" t="str">
        <f>HYPERLINK("http://twitter.com","Twitter Web Client")</f>
        <v>Twitter Web Client</v>
      </c>
      <c r="L318" s="13">
        <v>34</v>
      </c>
      <c r="M318" s="13">
        <v>84</v>
      </c>
      <c r="N318" s="13">
        <v>0</v>
      </c>
      <c r="O318" s="15"/>
      <c r="P318" s="6">
        <v>43230.667962962965</v>
      </c>
      <c r="Q318" s="12"/>
      <c r="R318" s="19"/>
      <c r="S318" s="12"/>
      <c r="T318" s="12"/>
      <c r="U318" s="10" t="str">
        <f>HYPERLINK("https://pbs.twimg.com/profile_images/994590867452235777/UrYwIw16.jpg","View")</f>
        <v>View</v>
      </c>
    </row>
    <row r="319" spans="1:21" ht="30.6">
      <c r="A319" s="6">
        <v>43427.556122685186</v>
      </c>
      <c r="B319" s="7" t="str">
        <f>HYPERLINK("https://twitter.com/InfobaeAmerica","@InfobaeAmerica")</f>
        <v>@InfobaeAmerica</v>
      </c>
      <c r="C319" s="8" t="s">
        <v>1503</v>
      </c>
      <c r="D319" s="9" t="s">
        <v>1504</v>
      </c>
      <c r="E319" s="10" t="str">
        <f>HYPERLINK("https://twitter.com/InfobaeAmerica/status/1065943247158157314","1065943247158157314")</f>
        <v>1065943247158157314</v>
      </c>
      <c r="F319" s="11" t="s">
        <v>1505</v>
      </c>
      <c r="G319" s="11" t="s">
        <v>1506</v>
      </c>
      <c r="H319" s="12"/>
      <c r="I319" s="13">
        <v>2</v>
      </c>
      <c r="J319" s="13">
        <v>1</v>
      </c>
      <c r="K319" s="14" t="str">
        <f>HYPERLINK("https://about.twitter.com/products/tweetdeck","TweetDeck")</f>
        <v>TweetDeck</v>
      </c>
      <c r="L319" s="13">
        <v>983639</v>
      </c>
      <c r="M319" s="13">
        <v>2733</v>
      </c>
      <c r="N319" s="13">
        <v>5734</v>
      </c>
      <c r="O319" s="16" t="s">
        <v>26</v>
      </c>
      <c r="P319" s="6">
        <v>39293.898680555554</v>
      </c>
      <c r="Q319" s="12"/>
      <c r="R319" s="18" t="s">
        <v>1507</v>
      </c>
      <c r="S319" s="11" t="s">
        <v>1508</v>
      </c>
      <c r="T319" s="12"/>
      <c r="U319" s="10" t="str">
        <f>HYPERLINK("https://pbs.twimg.com/profile_images/875421803585437698/-KMSnWEf.jpg","View")</f>
        <v>View</v>
      </c>
    </row>
    <row r="320" spans="1:21" ht="51">
      <c r="A320" s="6">
        <v>43427.555891203709</v>
      </c>
      <c r="B320" s="7" t="str">
        <f>HYPERLINK("https://twitter.com/CsCantabria","@CsCantabria")</f>
        <v>@CsCantabria</v>
      </c>
      <c r="C320" s="8" t="s">
        <v>1509</v>
      </c>
      <c r="D320" s="9" t="s">
        <v>1510</v>
      </c>
      <c r="E320" s="10" t="str">
        <f>HYPERLINK("https://twitter.com/CsCantabria/status/1065943163335073792","1065943163335073792")</f>
        <v>1065943163335073792</v>
      </c>
      <c r="F320" s="12"/>
      <c r="G320" s="11" t="s">
        <v>1511</v>
      </c>
      <c r="H320" s="12"/>
      <c r="I320" s="13">
        <v>20</v>
      </c>
      <c r="J320" s="13">
        <v>6</v>
      </c>
      <c r="K320" s="14" t="str">
        <f>HYPERLINK("http://twitter.com","Twitter Web Client")</f>
        <v>Twitter Web Client</v>
      </c>
      <c r="L320" s="13">
        <v>3554</v>
      </c>
      <c r="M320" s="13">
        <v>328</v>
      </c>
      <c r="N320" s="13">
        <v>92</v>
      </c>
      <c r="O320" s="16" t="s">
        <v>26</v>
      </c>
      <c r="P320" s="6">
        <v>41731.566608796296</v>
      </c>
      <c r="Q320" s="17" t="s">
        <v>368</v>
      </c>
      <c r="R320" s="18" t="s">
        <v>1512</v>
      </c>
      <c r="S320" s="11" t="s">
        <v>1513</v>
      </c>
      <c r="T320" s="12"/>
      <c r="U320" s="10" t="str">
        <f>HYPERLINK("https://pbs.twimg.com/profile_images/1053571729455529984/zfGYdPdw.jpg","View")</f>
        <v>View</v>
      </c>
    </row>
    <row r="321" spans="1:21" ht="51">
      <c r="A321" s="6">
        <v>43427.555844907409</v>
      </c>
      <c r="B321" s="7" t="str">
        <f>HYPERLINK("https://twitter.com/javitorres6","@javitorres6")</f>
        <v>@javitorres6</v>
      </c>
      <c r="C321" s="8" t="s">
        <v>1514</v>
      </c>
      <c r="D321" s="9" t="s">
        <v>1515</v>
      </c>
      <c r="E321" s="10" t="str">
        <f>HYPERLINK("https://twitter.com/javitorres6/status/1065943150341095424","1065943150341095424")</f>
        <v>1065943150341095424</v>
      </c>
      <c r="F321" s="11" t="s">
        <v>1516</v>
      </c>
      <c r="G321" s="11" t="s">
        <v>1517</v>
      </c>
      <c r="H321" s="12"/>
      <c r="I321" s="13">
        <v>1</v>
      </c>
      <c r="J321" s="13">
        <v>0</v>
      </c>
      <c r="K321" s="14" t="str">
        <f>HYPERLINK("http://twitter.com/download/iphone","Twitter for iPhone")</f>
        <v>Twitter for iPhone</v>
      </c>
      <c r="L321" s="13">
        <v>4526</v>
      </c>
      <c r="M321" s="13">
        <v>2318</v>
      </c>
      <c r="N321" s="13">
        <v>80</v>
      </c>
      <c r="O321" s="15"/>
      <c r="P321" s="6">
        <v>40703.892685185187</v>
      </c>
      <c r="Q321" s="17" t="s">
        <v>1518</v>
      </c>
      <c r="R321" s="18" t="s">
        <v>1519</v>
      </c>
      <c r="S321" s="12"/>
      <c r="T321" s="12"/>
      <c r="U321" s="10" t="str">
        <f>HYPERLINK("https://pbs.twimg.com/profile_images/975080397443878915/iuZ9qddZ.jpg","View")</f>
        <v>View</v>
      </c>
    </row>
    <row r="322" spans="1:21" ht="30.6">
      <c r="A322" s="6">
        <v>43427.555659722224</v>
      </c>
      <c r="B322" s="7" t="str">
        <f>HYPERLINK("https://twitter.com/juanravivanco","@juanravivanco")</f>
        <v>@juanravivanco</v>
      </c>
      <c r="C322" s="8" t="s">
        <v>1520</v>
      </c>
      <c r="D322" s="9" t="s">
        <v>1521</v>
      </c>
      <c r="E322" s="10" t="str">
        <f>HYPERLINK("https://twitter.com/juanravivanco/status/1065943082359840768","1065943082359840768")</f>
        <v>1065943082359840768</v>
      </c>
      <c r="F322" s="12"/>
      <c r="G322" s="11" t="s">
        <v>1522</v>
      </c>
      <c r="H322" s="12"/>
      <c r="I322" s="13">
        <v>7</v>
      </c>
      <c r="J322" s="13">
        <v>1</v>
      </c>
      <c r="K322" s="14" t="str">
        <f>HYPERLINK("https://www.hootsuite.com","Hootsuite Inc.")</f>
        <v>Hootsuite Inc.</v>
      </c>
      <c r="L322" s="13">
        <v>832</v>
      </c>
      <c r="M322" s="13">
        <v>1349</v>
      </c>
      <c r="N322" s="13">
        <v>9</v>
      </c>
      <c r="O322" s="15"/>
      <c r="P322" s="6">
        <v>40458.404062499998</v>
      </c>
      <c r="Q322" s="17" t="s">
        <v>28</v>
      </c>
      <c r="R322" s="18" t="s">
        <v>1523</v>
      </c>
      <c r="S322" s="12"/>
      <c r="T322" s="12"/>
      <c r="U322" s="10" t="str">
        <f>HYPERLINK("https://pbs.twimg.com/profile_images/987016377008566272/nTEgViPn.jpg","View")</f>
        <v>View</v>
      </c>
    </row>
    <row r="323" spans="1:21" ht="122.4">
      <c r="A323" s="6">
        <v>43427.55467592593</v>
      </c>
      <c r="B323" s="7" t="str">
        <f>HYPERLINK("https://twitter.com/cubanilluminati","@cubanilluminati")</f>
        <v>@cubanilluminati</v>
      </c>
      <c r="C323" s="8" t="s">
        <v>1524</v>
      </c>
      <c r="D323" s="9" t="s">
        <v>1525</v>
      </c>
      <c r="E323" s="10" t="str">
        <f>HYPERLINK("https://twitter.com/cubanilluminati/status/1065942725231435777","1065942725231435777")</f>
        <v>1065942725231435777</v>
      </c>
      <c r="F323" s="17" t="s">
        <v>1526</v>
      </c>
      <c r="G323" s="12"/>
      <c r="H323" s="12"/>
      <c r="I323" s="13">
        <v>1</v>
      </c>
      <c r="J323" s="13">
        <v>2</v>
      </c>
      <c r="K323" s="14" t="str">
        <f>HYPERLINK("http://twitter.com/download/iphone","Twitter for iPhone")</f>
        <v>Twitter for iPhone</v>
      </c>
      <c r="L323" s="13">
        <v>65</v>
      </c>
      <c r="M323" s="13">
        <v>298</v>
      </c>
      <c r="N323" s="13">
        <v>0</v>
      </c>
      <c r="O323" s="15"/>
      <c r="P323" s="6">
        <v>43390.144745370373</v>
      </c>
      <c r="Q323" s="12"/>
      <c r="R323" s="18" t="s">
        <v>1527</v>
      </c>
      <c r="S323" s="12"/>
      <c r="T323" s="12"/>
      <c r="U323" s="10" t="str">
        <f>HYPERLINK("https://pbs.twimg.com/profile_images/1052531078370607104/hHEibiQ2.jpg","View")</f>
        <v>View</v>
      </c>
    </row>
    <row r="324" spans="1:21" ht="30.6">
      <c r="A324" s="6">
        <v>43427.554560185185</v>
      </c>
      <c r="B324" s="7" t="str">
        <f>HYPERLINK("https://twitter.com/jcarloslh","@jcarloslh")</f>
        <v>@jcarloslh</v>
      </c>
      <c r="C324" s="8" t="s">
        <v>1528</v>
      </c>
      <c r="D324" s="9" t="s">
        <v>1529</v>
      </c>
      <c r="E324" s="10" t="str">
        <f>HYPERLINK("https://twitter.com/jcarloslh/status/1065942681724039168","1065942681724039168")</f>
        <v>1065942681724039168</v>
      </c>
      <c r="F324" s="11" t="s">
        <v>1530</v>
      </c>
      <c r="G324" s="12"/>
      <c r="H324" s="12"/>
      <c r="I324" s="13">
        <v>0</v>
      </c>
      <c r="J324" s="13">
        <v>0</v>
      </c>
      <c r="K324" s="14" t="str">
        <f>HYPERLINK("http://www.facebook.com/twitter","Facebook")</f>
        <v>Facebook</v>
      </c>
      <c r="L324" s="13">
        <v>186</v>
      </c>
      <c r="M324" s="13">
        <v>190</v>
      </c>
      <c r="N324" s="13">
        <v>9</v>
      </c>
      <c r="O324" s="15"/>
      <c r="P324" s="6">
        <v>40433.91541666667</v>
      </c>
      <c r="Q324" s="17" t="s">
        <v>28</v>
      </c>
      <c r="R324" s="19"/>
      <c r="S324" s="12"/>
      <c r="T324" s="12"/>
      <c r="U324" s="10" t="str">
        <f>HYPERLINK("https://pbs.twimg.com/profile_images/3399813895/ffa75fdcb08baf5251d475f9fca4c818.jpeg","View")</f>
        <v>View</v>
      </c>
    </row>
    <row r="325" spans="1:21" ht="51">
      <c r="A325" s="6">
        <v>43427.55259259259</v>
      </c>
      <c r="B325" s="7" t="str">
        <f>HYPERLINK("https://twitter.com/Csanchezberzain","@Csanchezberzain")</f>
        <v>@Csanchezberzain</v>
      </c>
      <c r="C325" s="8" t="s">
        <v>1531</v>
      </c>
      <c r="D325" s="9" t="s">
        <v>1532</v>
      </c>
      <c r="E325" s="10" t="str">
        <f>HYPERLINK("https://twitter.com/Csanchezberzain/status/1065941968952279040","1065941968952279040")</f>
        <v>1065941968952279040</v>
      </c>
      <c r="F325" s="11" t="s">
        <v>1533</v>
      </c>
      <c r="G325" s="12"/>
      <c r="H325" s="12"/>
      <c r="I325" s="13">
        <v>22</v>
      </c>
      <c r="J325" s="13">
        <v>18</v>
      </c>
      <c r="K325" s="14" t="str">
        <f>HYPERLINK("http://twitter.com/download/iphone","Twitter for iPhone")</f>
        <v>Twitter for iPhone</v>
      </c>
      <c r="L325" s="13">
        <v>22600</v>
      </c>
      <c r="M325" s="13">
        <v>7877</v>
      </c>
      <c r="N325" s="13">
        <v>148</v>
      </c>
      <c r="O325" s="16" t="s">
        <v>26</v>
      </c>
      <c r="P325" s="6">
        <v>42069.024386574078</v>
      </c>
      <c r="Q325" s="12"/>
      <c r="R325" s="18" t="s">
        <v>1534</v>
      </c>
      <c r="S325" s="11" t="s">
        <v>1535</v>
      </c>
      <c r="T325" s="12"/>
      <c r="U325" s="10" t="str">
        <f>HYPERLINK("https://pbs.twimg.com/profile_images/576187645245566976/w3kFRVbY.jpeg","View")</f>
        <v>View</v>
      </c>
    </row>
    <row r="326" spans="1:21" ht="51">
      <c r="A326" s="6">
        <v>43427.552557870367</v>
      </c>
      <c r="B326" s="7" t="str">
        <f>HYPERLINK("https://twitter.com/Elazote52008222","@Elazote52008222")</f>
        <v>@Elazote52008222</v>
      </c>
      <c r="C326" s="8" t="s">
        <v>1536</v>
      </c>
      <c r="D326" s="9" t="s">
        <v>1537</v>
      </c>
      <c r="E326" s="10" t="str">
        <f>HYPERLINK("https://twitter.com/Elazote52008222/status/1065941958038827008","1065941958038827008")</f>
        <v>1065941958038827008</v>
      </c>
      <c r="F326" s="11" t="s">
        <v>1538</v>
      </c>
      <c r="G326" s="12"/>
      <c r="H326" s="12"/>
      <c r="I326" s="13">
        <v>0</v>
      </c>
      <c r="J326" s="13">
        <v>1</v>
      </c>
      <c r="K326" s="14" t="str">
        <f>HYPERLINK("http://twitter.com/download/android","Twitter for Android")</f>
        <v>Twitter for Android</v>
      </c>
      <c r="L326" s="13">
        <v>95</v>
      </c>
      <c r="M326" s="13">
        <v>334</v>
      </c>
      <c r="N326" s="13">
        <v>1</v>
      </c>
      <c r="O326" s="15"/>
      <c r="P326" s="6">
        <v>43328.634502314817</v>
      </c>
      <c r="Q326" s="12"/>
      <c r="R326" s="19"/>
      <c r="S326" s="12"/>
      <c r="T326" s="12"/>
      <c r="U326" s="10" t="str">
        <f>HYPERLINK("https://pbs.twimg.com/profile_images/1030163525061300226/H6z0SZDH.jpg","View")</f>
        <v>View</v>
      </c>
    </row>
    <row r="327" spans="1:21" ht="51">
      <c r="A327" s="6">
        <v>43427.552210648151</v>
      </c>
      <c r="B327" s="7" t="str">
        <f>HYPERLINK("https://twitter.com/Cs_SoniaPerez","@Cs_SoniaPerez")</f>
        <v>@Cs_SoniaPerez</v>
      </c>
      <c r="C327" s="8" t="s">
        <v>1539</v>
      </c>
      <c r="D327" s="9" t="s">
        <v>1540</v>
      </c>
      <c r="E327" s="10" t="str">
        <f>HYPERLINK("https://twitter.com/Cs_SoniaPerez/status/1065941830569730049","1065941830569730049")</f>
        <v>1065941830569730049</v>
      </c>
      <c r="F327" s="12"/>
      <c r="G327" s="11" t="s">
        <v>1541</v>
      </c>
      <c r="H327" s="12"/>
      <c r="I327" s="13">
        <v>17</v>
      </c>
      <c r="J327" s="13">
        <v>12</v>
      </c>
      <c r="K327" s="14" t="str">
        <f>HYPERLINK("https://www.hootsuite.com","Hootsuite Inc.")</f>
        <v>Hootsuite Inc.</v>
      </c>
      <c r="L327" s="13">
        <v>242</v>
      </c>
      <c r="M327" s="13">
        <v>279</v>
      </c>
      <c r="N327" s="13">
        <v>0</v>
      </c>
      <c r="O327" s="15"/>
      <c r="P327" s="6">
        <v>41114.583171296297</v>
      </c>
      <c r="Q327" s="17" t="s">
        <v>1542</v>
      </c>
      <c r="R327" s="18" t="s">
        <v>1543</v>
      </c>
      <c r="S327" s="11" t="s">
        <v>1544</v>
      </c>
      <c r="T327" s="12"/>
      <c r="U327" s="10" t="str">
        <f>HYPERLINK("https://pbs.twimg.com/profile_images/953001361993601024/XGS5gsBf.jpg","View")</f>
        <v>View</v>
      </c>
    </row>
    <row r="328" spans="1:21" ht="40.799999999999997">
      <c r="A328" s="6">
        <v>43427.552141203705</v>
      </c>
      <c r="B328" s="7" t="str">
        <f>HYPERLINK("https://twitter.com/prnoticias","@prnoticias")</f>
        <v>@prnoticias</v>
      </c>
      <c r="C328" s="8" t="s">
        <v>154</v>
      </c>
      <c r="D328" s="9" t="s">
        <v>1545</v>
      </c>
      <c r="E328" s="10" t="str">
        <f>HYPERLINK("https://twitter.com/prnoticias/status/1065941804221165568","1065941804221165568")</f>
        <v>1065941804221165568</v>
      </c>
      <c r="F328" s="11" t="s">
        <v>156</v>
      </c>
      <c r="G328" s="11" t="s">
        <v>1546</v>
      </c>
      <c r="H328" s="12"/>
      <c r="I328" s="13">
        <v>0</v>
      </c>
      <c r="J328" s="13">
        <v>0</v>
      </c>
      <c r="K328" s="14" t="str">
        <f>HYPERLINK("http://www.hootsuite.com","Hootsuite")</f>
        <v>Hootsuite</v>
      </c>
      <c r="L328" s="13">
        <v>77941</v>
      </c>
      <c r="M328" s="13">
        <v>1713</v>
      </c>
      <c r="N328" s="13">
        <v>4011</v>
      </c>
      <c r="O328" s="16" t="s">
        <v>26</v>
      </c>
      <c r="P328" s="6">
        <v>39903.574907407405</v>
      </c>
      <c r="Q328" s="17" t="s">
        <v>27</v>
      </c>
      <c r="R328" s="18" t="s">
        <v>159</v>
      </c>
      <c r="S328" s="11" t="s">
        <v>160</v>
      </c>
      <c r="T328" s="12"/>
      <c r="U328" s="10" t="str">
        <f>HYPERLINK("https://pbs.twimg.com/profile_images/881787674121646083/28sl70F7.jpg","View")</f>
        <v>View</v>
      </c>
    </row>
    <row r="329" spans="1:21" ht="30.6">
      <c r="A329" s="6">
        <v>43427.551527777774</v>
      </c>
      <c r="B329" s="7" t="str">
        <f>HYPERLINK("https://twitter.com/jc_karnak23","@jc_karnak23")</f>
        <v>@jc_karnak23</v>
      </c>
      <c r="C329" s="8" t="s">
        <v>1547</v>
      </c>
      <c r="D329" s="9" t="s">
        <v>1548</v>
      </c>
      <c r="E329" s="10" t="str">
        <f>HYPERLINK("https://twitter.com/jc_karnak23/status/1065941582564782081","1065941582564782081")</f>
        <v>1065941582564782081</v>
      </c>
      <c r="F329" s="11" t="s">
        <v>1549</v>
      </c>
      <c r="G329" s="12"/>
      <c r="H329" s="12"/>
      <c r="I329" s="13">
        <v>1</v>
      </c>
      <c r="J329" s="13">
        <v>0</v>
      </c>
      <c r="K329" s="14" t="str">
        <f t="shared" ref="K329:K330" si="51">HYPERLINK("http://twitter.com/download/android","Twitter for Android")</f>
        <v>Twitter for Android</v>
      </c>
      <c r="L329" s="13">
        <v>2819</v>
      </c>
      <c r="M329" s="13">
        <v>2824</v>
      </c>
      <c r="N329" s="13">
        <v>33</v>
      </c>
      <c r="O329" s="15"/>
      <c r="P329" s="6">
        <v>41344.410902777774</v>
      </c>
      <c r="Q329" s="17" t="s">
        <v>1550</v>
      </c>
      <c r="R329" s="18" t="s">
        <v>1551</v>
      </c>
      <c r="S329" s="12"/>
      <c r="T329" s="12"/>
      <c r="U329" s="10" t="str">
        <f>HYPERLINK("https://pbs.twimg.com/profile_images/378800000791829812/b1c03852c594214bb9fbd4c8b553b4f9.jpeg","View")</f>
        <v>View</v>
      </c>
    </row>
    <row r="330" spans="1:21" ht="13.2">
      <c r="A330" s="6">
        <v>43427.551250000004</v>
      </c>
      <c r="B330" s="7" t="str">
        <f>HYPERLINK("https://twitter.com/CsBarbadas","@CsBarbadas")</f>
        <v>@CsBarbadas</v>
      </c>
      <c r="C330" s="8" t="s">
        <v>1552</v>
      </c>
      <c r="D330" s="9" t="s">
        <v>1553</v>
      </c>
      <c r="E330" s="10" t="str">
        <f>HYPERLINK("https://twitter.com/CsBarbadas/status/1065941483184930816","1065941483184930816")</f>
        <v>1065941483184930816</v>
      </c>
      <c r="F330" s="12"/>
      <c r="G330" s="11" t="s">
        <v>1555</v>
      </c>
      <c r="H330" s="12"/>
      <c r="I330" s="13">
        <v>7</v>
      </c>
      <c r="J330" s="13">
        <v>1</v>
      </c>
      <c r="K330" s="14" t="str">
        <f t="shared" si="51"/>
        <v>Twitter for Android</v>
      </c>
      <c r="L330" s="13">
        <v>29</v>
      </c>
      <c r="M330" s="13">
        <v>71</v>
      </c>
      <c r="N330" s="13">
        <v>0</v>
      </c>
      <c r="O330" s="15"/>
      <c r="P330" s="6">
        <v>43424.575254629628</v>
      </c>
      <c r="Q330" s="12"/>
      <c r="R330" s="19"/>
      <c r="S330" s="12"/>
      <c r="T330" s="12"/>
      <c r="U330" s="10" t="str">
        <f>HYPERLINK("https://pbs.twimg.com/profile_images/1064863444619485184/NukHfZUX.jpg","View")</f>
        <v>View</v>
      </c>
    </row>
    <row r="331" spans="1:21" ht="30.6">
      <c r="A331" s="6">
        <v>43427.550902777773</v>
      </c>
      <c r="B331" s="7" t="str">
        <f>HYPERLINK("https://twitter.com/edwarsqueen","@edwarsqueen")</f>
        <v>@edwarsqueen</v>
      </c>
      <c r="C331" s="8" t="s">
        <v>1472</v>
      </c>
      <c r="D331" s="9" t="s">
        <v>1556</v>
      </c>
      <c r="E331" s="10" t="str">
        <f>HYPERLINK("https://twitter.com/edwarsqueen/status/1065941358706339840","1065941358706339840")</f>
        <v>1065941358706339840</v>
      </c>
      <c r="F331" s="11" t="s">
        <v>1557</v>
      </c>
      <c r="G331" s="12"/>
      <c r="H331" s="12"/>
      <c r="I331" s="13">
        <v>0</v>
      </c>
      <c r="J331" s="13">
        <v>0</v>
      </c>
      <c r="K331" s="14" t="str">
        <f t="shared" ref="K331:K332" si="52">HYPERLINK("http://twitter.com","Twitter Web Client")</f>
        <v>Twitter Web Client</v>
      </c>
      <c r="L331" s="13">
        <v>2816</v>
      </c>
      <c r="M331" s="13">
        <v>2044</v>
      </c>
      <c r="N331" s="13">
        <v>15</v>
      </c>
      <c r="O331" s="15"/>
      <c r="P331" s="6">
        <v>41185.064120370371</v>
      </c>
      <c r="Q331" s="12"/>
      <c r="R331" s="18" t="s">
        <v>1475</v>
      </c>
      <c r="S331" s="12"/>
      <c r="T331" s="12"/>
      <c r="U331" s="10" t="str">
        <f>HYPERLINK("https://pbs.twimg.com/profile_images/1058872526800084992/mw58E0b2.jpg","View")</f>
        <v>View</v>
      </c>
    </row>
    <row r="332" spans="1:21" ht="40.799999999999997">
      <c r="A332" s="6">
        <v>43427.550462962958</v>
      </c>
      <c r="B332" s="7" t="str">
        <f>HYPERLINK("https://twitter.com/zoteiro","@zoteiro")</f>
        <v>@zoteiro</v>
      </c>
      <c r="C332" s="8" t="s">
        <v>1558</v>
      </c>
      <c r="D332" s="9" t="s">
        <v>1559</v>
      </c>
      <c r="E332" s="10" t="str">
        <f>HYPERLINK("https://twitter.com/zoteiro/status/1065941196885901312","1065941196885901312")</f>
        <v>1065941196885901312</v>
      </c>
      <c r="F332" s="12"/>
      <c r="G332" s="11" t="s">
        <v>1560</v>
      </c>
      <c r="H332" s="12"/>
      <c r="I332" s="13">
        <v>0</v>
      </c>
      <c r="J332" s="13">
        <v>1</v>
      </c>
      <c r="K332" s="14" t="str">
        <f t="shared" si="52"/>
        <v>Twitter Web Client</v>
      </c>
      <c r="L332" s="13">
        <v>667</v>
      </c>
      <c r="M332" s="13">
        <v>654</v>
      </c>
      <c r="N332" s="13">
        <v>0</v>
      </c>
      <c r="O332" s="15"/>
      <c r="P332" s="6">
        <v>42908.642314814817</v>
      </c>
      <c r="Q332" s="12"/>
      <c r="R332" s="19"/>
      <c r="S332" s="12"/>
      <c r="T332" s="12"/>
      <c r="U332" s="10" t="str">
        <f>HYPERLINK("https://pbs.twimg.com/profile_images/1011270132306497537/fLkXfy33.jpg","View")</f>
        <v>View</v>
      </c>
    </row>
    <row r="333" spans="1:21" ht="30.6">
      <c r="A333" s="6">
        <v>43427.54959490741</v>
      </c>
      <c r="B333" s="7" t="str">
        <f>HYPERLINK("https://twitter.com/enjakeETB","@enjakeETB")</f>
        <v>@enjakeETB</v>
      </c>
      <c r="C333" s="8" t="s">
        <v>1561</v>
      </c>
      <c r="D333" s="9" t="s">
        <v>1562</v>
      </c>
      <c r="E333" s="10" t="str">
        <f>HYPERLINK("https://twitter.com/enjakeETB/status/1065940885442101249","1065940885442101249")</f>
        <v>1065940885442101249</v>
      </c>
      <c r="F333" s="11" t="s">
        <v>1563</v>
      </c>
      <c r="G333" s="11" t="s">
        <v>1564</v>
      </c>
      <c r="H333" s="12"/>
      <c r="I333" s="13">
        <v>0</v>
      </c>
      <c r="J333" s="13">
        <v>0</v>
      </c>
      <c r="K333" s="14" t="str">
        <f>HYPERLINK("https://about.twitter.com/products/tweetdeck","TweetDeck")</f>
        <v>TweetDeck</v>
      </c>
      <c r="L333" s="13">
        <v>3757</v>
      </c>
      <c r="M333" s="13">
        <v>240</v>
      </c>
      <c r="N333" s="13">
        <v>50</v>
      </c>
      <c r="O333" s="15"/>
      <c r="P333" s="6">
        <v>40206.661689814813</v>
      </c>
      <c r="Q333" s="17" t="s">
        <v>1565</v>
      </c>
      <c r="R333" s="18" t="s">
        <v>1566</v>
      </c>
      <c r="S333" s="11" t="s">
        <v>1563</v>
      </c>
      <c r="T333" s="12"/>
      <c r="U333" s="10" t="str">
        <f>HYPERLINK("https://pbs.twimg.com/profile_images/1034371688136421376/rRWCNSOY.jpg","View")</f>
        <v>View</v>
      </c>
    </row>
    <row r="334" spans="1:21" ht="40.799999999999997">
      <c r="A334" s="6">
        <v>43427.549166666664</v>
      </c>
      <c r="B334" s="7" t="str">
        <f>HYPERLINK("https://twitter.com/Cs_Madrid","@Cs_Madrid")</f>
        <v>@Cs_Madrid</v>
      </c>
      <c r="C334" s="8" t="s">
        <v>1567</v>
      </c>
      <c r="D334" s="9" t="s">
        <v>1568</v>
      </c>
      <c r="E334" s="10" t="str">
        <f>HYPERLINK("https://twitter.com/Cs_Madrid/status/1065940729774727168","1065940729774727168")</f>
        <v>1065940729774727168</v>
      </c>
      <c r="F334" s="12"/>
      <c r="G334" s="11" t="s">
        <v>1569</v>
      </c>
      <c r="H334" s="12"/>
      <c r="I334" s="13">
        <v>7</v>
      </c>
      <c r="J334" s="13">
        <v>4</v>
      </c>
      <c r="K334" s="14" t="str">
        <f>HYPERLINK("https://studio.twitter.com","Media Studio")</f>
        <v>Media Studio</v>
      </c>
      <c r="L334" s="13">
        <v>45841</v>
      </c>
      <c r="M334" s="13">
        <v>4651</v>
      </c>
      <c r="N334" s="13">
        <v>457</v>
      </c>
      <c r="O334" s="16" t="s">
        <v>26</v>
      </c>
      <c r="P334" s="6">
        <v>41347.871215277773</v>
      </c>
      <c r="Q334" s="17" t="s">
        <v>1567</v>
      </c>
      <c r="R334" s="18" t="s">
        <v>1570</v>
      </c>
      <c r="S334" s="11" t="s">
        <v>1571</v>
      </c>
      <c r="T334" s="12"/>
      <c r="U334" s="10" t="str">
        <f>HYPERLINK("https://pbs.twimg.com/profile_images/1015885974017134593/kzase924.jpg","View")</f>
        <v>View</v>
      </c>
    </row>
    <row r="335" spans="1:21" ht="20.399999999999999">
      <c r="A335" s="6">
        <v>43427.548738425925</v>
      </c>
      <c r="B335" s="7" t="str">
        <f>HYPERLINK("https://twitter.com/juanravivanco","@juanravivanco")</f>
        <v>@juanravivanco</v>
      </c>
      <c r="C335" s="8" t="s">
        <v>1520</v>
      </c>
      <c r="D335" s="9" t="s">
        <v>1572</v>
      </c>
      <c r="E335" s="10" t="str">
        <f>HYPERLINK("https://twitter.com/juanravivanco/status/1065940571905294336","1065940571905294336")</f>
        <v>1065940571905294336</v>
      </c>
      <c r="F335" s="12"/>
      <c r="G335" s="11" t="s">
        <v>1573</v>
      </c>
      <c r="H335" s="12"/>
      <c r="I335" s="13">
        <v>0</v>
      </c>
      <c r="J335" s="13">
        <v>0</v>
      </c>
      <c r="K335" s="14" t="str">
        <f>HYPERLINK("https://www.hootsuite.com","Hootsuite Inc.")</f>
        <v>Hootsuite Inc.</v>
      </c>
      <c r="L335" s="13">
        <v>832</v>
      </c>
      <c r="M335" s="13">
        <v>1349</v>
      </c>
      <c r="N335" s="13">
        <v>9</v>
      </c>
      <c r="O335" s="15"/>
      <c r="P335" s="6">
        <v>40458.404062499998</v>
      </c>
      <c r="Q335" s="17" t="s">
        <v>28</v>
      </c>
      <c r="R335" s="18" t="s">
        <v>1523</v>
      </c>
      <c r="S335" s="12"/>
      <c r="T335" s="12"/>
      <c r="U335" s="10" t="str">
        <f>HYPERLINK("https://pbs.twimg.com/profile_images/987016377008566272/nTEgViPn.jpg","View")</f>
        <v>View</v>
      </c>
    </row>
    <row r="336" spans="1:21" ht="40.799999999999997">
      <c r="A336" s="6">
        <v>43427.548611111109</v>
      </c>
      <c r="B336" s="7" t="str">
        <f>HYPERLINK("https://twitter.com/abc_es","@abc_es")</f>
        <v>@abc_es</v>
      </c>
      <c r="C336" s="20" t="s">
        <v>1574</v>
      </c>
      <c r="D336" s="9" t="s">
        <v>1575</v>
      </c>
      <c r="E336" s="10" t="str">
        <f>HYPERLINK("https://twitter.com/abc_es/status/1065940527122710529","1065940527122710529")</f>
        <v>1065940527122710529</v>
      </c>
      <c r="F336" s="11" t="s">
        <v>1576</v>
      </c>
      <c r="G336" s="12"/>
      <c r="H336" s="12"/>
      <c r="I336" s="13">
        <v>7</v>
      </c>
      <c r="J336" s="13">
        <v>5</v>
      </c>
      <c r="K336" s="14" t="str">
        <f>HYPERLINK("https://dogtrack.es","DogTrack ABC")</f>
        <v>DogTrack ABC</v>
      </c>
      <c r="L336" s="13">
        <v>1604209</v>
      </c>
      <c r="M336" s="13">
        <v>15517</v>
      </c>
      <c r="N336" s="13">
        <v>17113</v>
      </c>
      <c r="O336" s="16" t="s">
        <v>26</v>
      </c>
      <c r="P336" s="6">
        <v>39846.840682870374</v>
      </c>
      <c r="Q336" s="17" t="s">
        <v>28</v>
      </c>
      <c r="R336" s="18" t="s">
        <v>1577</v>
      </c>
      <c r="S336" s="11" t="s">
        <v>1578</v>
      </c>
      <c r="T336" s="12"/>
      <c r="U336" s="10" t="str">
        <f>HYPERLINK("https://pbs.twimg.com/profile_images/1053638435309842432/s75OnwdY.jpg","View")</f>
        <v>View</v>
      </c>
    </row>
    <row r="337" spans="1:21" ht="40.799999999999997">
      <c r="A337" s="6">
        <v>43427.548449074078</v>
      </c>
      <c r="B337" s="7" t="str">
        <f>HYPERLINK("https://twitter.com/CsCValenciana","@CsCValenciana")</f>
        <v>@CsCValenciana</v>
      </c>
      <c r="C337" s="8" t="s">
        <v>1579</v>
      </c>
      <c r="D337" s="9" t="s">
        <v>1580</v>
      </c>
      <c r="E337" s="10" t="str">
        <f>HYPERLINK("https://twitter.com/CsCValenciana/status/1065940468222050305","1065940468222050305")</f>
        <v>1065940468222050305</v>
      </c>
      <c r="F337" s="12"/>
      <c r="G337" s="11" t="s">
        <v>1581</v>
      </c>
      <c r="H337" s="12"/>
      <c r="I337" s="13">
        <v>12</v>
      </c>
      <c r="J337" s="13">
        <v>10</v>
      </c>
      <c r="K337" s="14" t="str">
        <f>HYPERLINK("http://twitter.com","Twitter Web Client")</f>
        <v>Twitter Web Client</v>
      </c>
      <c r="L337" s="13">
        <v>12307</v>
      </c>
      <c r="M337" s="13">
        <v>4353</v>
      </c>
      <c r="N337" s="13">
        <v>154</v>
      </c>
      <c r="O337" s="16" t="s">
        <v>26</v>
      </c>
      <c r="P337" s="6">
        <v>41398.006712962961</v>
      </c>
      <c r="Q337" s="17" t="s">
        <v>1582</v>
      </c>
      <c r="R337" s="18" t="s">
        <v>1583</v>
      </c>
      <c r="S337" s="11" t="s">
        <v>1584</v>
      </c>
      <c r="T337" s="12"/>
      <c r="U337" s="10" t="str">
        <f>HYPERLINK("https://pbs.twimg.com/profile_images/1053541731621314560/AVBbU4uK.jpg","View")</f>
        <v>View</v>
      </c>
    </row>
    <row r="338" spans="1:21" ht="20.399999999999999">
      <c r="A338" s="6">
        <v>43427.547905092593</v>
      </c>
      <c r="B338" s="7" t="str">
        <f>HYPERLINK("https://twitter.com/Arcaravan7","@Arcaravan7")</f>
        <v>@Arcaravan7</v>
      </c>
      <c r="C338" s="8" t="s">
        <v>1585</v>
      </c>
      <c r="D338" s="9" t="s">
        <v>991</v>
      </c>
      <c r="E338" s="10" t="str">
        <f>HYPERLINK("https://twitter.com/Arcaravan7/status/1065940270146031617","1065940270146031617")</f>
        <v>1065940270146031617</v>
      </c>
      <c r="F338" s="11" t="s">
        <v>310</v>
      </c>
      <c r="G338" s="12"/>
      <c r="H338" s="12"/>
      <c r="I338" s="13">
        <v>0</v>
      </c>
      <c r="J338" s="13">
        <v>0</v>
      </c>
      <c r="K338" s="14" t="str">
        <f>HYPERLINK("http://tapbots.com/tweetbot","Tweetbot for iΟS")</f>
        <v>Tweetbot for iΟS</v>
      </c>
      <c r="L338" s="13">
        <v>1597</v>
      </c>
      <c r="M338" s="13">
        <v>1449</v>
      </c>
      <c r="N338" s="13">
        <v>35</v>
      </c>
      <c r="O338" s="15"/>
      <c r="P338" s="6">
        <v>41690.052766203706</v>
      </c>
      <c r="Q338" s="17" t="s">
        <v>1586</v>
      </c>
      <c r="R338" s="18" t="s">
        <v>1587</v>
      </c>
      <c r="S338" s="12"/>
      <c r="T338" s="12"/>
      <c r="U338" s="10" t="str">
        <f>HYPERLINK("https://pbs.twimg.com/profile_images/992778538947399680/AhcCj-NE.jpg","View")</f>
        <v>View</v>
      </c>
    </row>
    <row r="339" spans="1:21" ht="30.6">
      <c r="A339" s="6">
        <v>43427.547256944439</v>
      </c>
      <c r="B339" s="7" t="str">
        <f>HYPERLINK("https://twitter.com/davidhermosorod","@davidhermosorod")</f>
        <v>@davidhermosorod</v>
      </c>
      <c r="C339" s="8" t="s">
        <v>1588</v>
      </c>
      <c r="D339" s="9" t="s">
        <v>1589</v>
      </c>
      <c r="E339" s="10" t="str">
        <f>HYPERLINK("https://twitter.com/davidhermosorod/status/1065940038079246336","1065940038079246336")</f>
        <v>1065940038079246336</v>
      </c>
      <c r="F339" s="11" t="s">
        <v>1590</v>
      </c>
      <c r="G339" s="11" t="s">
        <v>1591</v>
      </c>
      <c r="H339" s="12"/>
      <c r="I339" s="13">
        <v>1</v>
      </c>
      <c r="J339" s="13">
        <v>1</v>
      </c>
      <c r="K339" s="14" t="str">
        <f>HYPERLINK("https://dlvrit.com/","dlvr.it")</f>
        <v>dlvr.it</v>
      </c>
      <c r="L339" s="13">
        <v>42541</v>
      </c>
      <c r="M339" s="13">
        <v>35113</v>
      </c>
      <c r="N339" s="13">
        <v>460</v>
      </c>
      <c r="O339" s="15"/>
      <c r="P339" s="6">
        <v>40457.905706018515</v>
      </c>
      <c r="Q339" s="17" t="s">
        <v>1592</v>
      </c>
      <c r="R339" s="18" t="s">
        <v>1593</v>
      </c>
      <c r="S339" s="11" t="s">
        <v>1594</v>
      </c>
      <c r="T339" s="12"/>
      <c r="U339" s="10" t="str">
        <f>HYPERLINK("https://pbs.twimg.com/profile_images/935458740416974848/WHMny6Rs.jpg","View")</f>
        <v>View</v>
      </c>
    </row>
    <row r="340" spans="1:21" ht="20.399999999999999">
      <c r="A340" s="6">
        <v>43427.546840277777</v>
      </c>
      <c r="B340" s="7" t="str">
        <f>HYPERLINK("https://twitter.com/SiSoyIzquierda","@SiSoyIzquierda")</f>
        <v>@SiSoyIzquierda</v>
      </c>
      <c r="C340" s="8" t="s">
        <v>1595</v>
      </c>
      <c r="D340" s="9" t="s">
        <v>1596</v>
      </c>
      <c r="E340" s="10" t="str">
        <f>HYPERLINK("https://twitter.com/SiSoyIzquierda/status/1065939884744036352","1065939884744036352")</f>
        <v>1065939884744036352</v>
      </c>
      <c r="F340" s="11" t="s">
        <v>87</v>
      </c>
      <c r="G340" s="12"/>
      <c r="H340" s="12"/>
      <c r="I340" s="13">
        <v>0</v>
      </c>
      <c r="J340" s="13">
        <v>0</v>
      </c>
      <c r="K340" s="14" t="str">
        <f>HYPERLINK("http://twitter.com/#!/download/ipad","Twitter for iPad")</f>
        <v>Twitter for iPad</v>
      </c>
      <c r="L340" s="13">
        <v>628</v>
      </c>
      <c r="M340" s="13">
        <v>784</v>
      </c>
      <c r="N340" s="13">
        <v>9</v>
      </c>
      <c r="O340" s="15"/>
      <c r="P340" s="6">
        <v>42673.893784722226</v>
      </c>
      <c r="Q340" s="17" t="s">
        <v>1597</v>
      </c>
      <c r="R340" s="19"/>
      <c r="S340" s="12"/>
      <c r="T340" s="12"/>
      <c r="U340" s="10" t="str">
        <f>HYPERLINK("https://pbs.twimg.com/profile_images/1005768331142549504/AUQNuXGP.jpg","View")</f>
        <v>View</v>
      </c>
    </row>
    <row r="341" spans="1:21" ht="51">
      <c r="A341" s="6">
        <v>43427.54614583333</v>
      </c>
      <c r="B341" s="7" t="str">
        <f>HYPERLINK("https://twitter.com/LasoNestor","@LasoNestor")</f>
        <v>@LasoNestor</v>
      </c>
      <c r="C341" s="8" t="s">
        <v>1598</v>
      </c>
      <c r="D341" s="9" t="s">
        <v>1599</v>
      </c>
      <c r="E341" s="10" t="str">
        <f>HYPERLINK("https://twitter.com/LasoNestor/status/1065939632280518658","1065939632280518658")</f>
        <v>1065939632280518658</v>
      </c>
      <c r="F341" s="11" t="s">
        <v>1083</v>
      </c>
      <c r="G341" s="12"/>
      <c r="H341" s="12"/>
      <c r="I341" s="13">
        <v>0</v>
      </c>
      <c r="J341" s="13">
        <v>0</v>
      </c>
      <c r="K341" s="14" t="str">
        <f>HYPERLINK("http://twitter.com","Twitter Web Client")</f>
        <v>Twitter Web Client</v>
      </c>
      <c r="L341" s="13">
        <v>337</v>
      </c>
      <c r="M341" s="13">
        <v>142</v>
      </c>
      <c r="N341" s="13">
        <v>0</v>
      </c>
      <c r="O341" s="15"/>
      <c r="P341" s="6">
        <v>43390.916284722218</v>
      </c>
      <c r="Q341" s="17" t="s">
        <v>28</v>
      </c>
      <c r="R341" s="18" t="s">
        <v>1600</v>
      </c>
      <c r="S341" s="12"/>
      <c r="T341" s="12"/>
      <c r="U341" s="10" t="str">
        <f>HYPERLINK("https://pbs.twimg.com/profile_images/1054039893435932673/5Z1wf78J.jpg","View")</f>
        <v>View</v>
      </c>
    </row>
    <row r="342" spans="1:21" ht="30.6">
      <c r="A342" s="6">
        <v>43427.546053240745</v>
      </c>
      <c r="B342" s="7" t="str">
        <f>HYPERLINK("https://twitter.com/Hoy_Honduras_","@Hoy_Honduras_")</f>
        <v>@Hoy_Honduras_</v>
      </c>
      <c r="C342" s="8" t="s">
        <v>1601</v>
      </c>
      <c r="D342" s="9" t="s">
        <v>1602</v>
      </c>
      <c r="E342" s="10" t="str">
        <f>HYPERLINK("https://twitter.com/Hoy_Honduras_/status/1065939598369595393","1065939598369595393")</f>
        <v>1065939598369595393</v>
      </c>
      <c r="F342" s="11" t="s">
        <v>398</v>
      </c>
      <c r="G342" s="12"/>
      <c r="H342" s="12"/>
      <c r="I342" s="13">
        <v>0</v>
      </c>
      <c r="J342" s="13">
        <v>0</v>
      </c>
      <c r="K342" s="14" t="str">
        <f>HYPERLINK("http://www.facebook.com/twitter","Facebook")</f>
        <v>Facebook</v>
      </c>
      <c r="L342" s="13">
        <v>373</v>
      </c>
      <c r="M342" s="13">
        <v>48</v>
      </c>
      <c r="N342" s="13">
        <v>8</v>
      </c>
      <c r="O342" s="15"/>
      <c r="P342" s="6">
        <v>42161.164039351846</v>
      </c>
      <c r="Q342" s="17" t="s">
        <v>1603</v>
      </c>
      <c r="R342" s="18" t="s">
        <v>1604</v>
      </c>
      <c r="S342" s="11" t="s">
        <v>1605</v>
      </c>
      <c r="T342" s="12"/>
      <c r="U342" s="10" t="str">
        <f>HYPERLINK("https://pbs.twimg.com/profile_images/828797374273249281/3yR3oIIQ.jpg","View")</f>
        <v>View</v>
      </c>
    </row>
    <row r="343" spans="1:21" ht="40.799999999999997">
      <c r="A343" s="6">
        <v>43427.545856481476</v>
      </c>
      <c r="B343" s="7" t="str">
        <f>HYPERLINK("https://twitter.com/AdrianaBonezzi","@AdrianaBonezzi")</f>
        <v>@AdrianaBonezzi</v>
      </c>
      <c r="C343" s="8" t="s">
        <v>1606</v>
      </c>
      <c r="D343" s="9" t="s">
        <v>1607</v>
      </c>
      <c r="E343" s="10" t="str">
        <f>HYPERLINK("https://twitter.com/AdrianaBonezzi/status/1065939529901752321","1065939529901752321")</f>
        <v>1065939529901752321</v>
      </c>
      <c r="F343" s="11" t="s">
        <v>746</v>
      </c>
      <c r="G343" s="12"/>
      <c r="H343" s="12"/>
      <c r="I343" s="13">
        <v>0</v>
      </c>
      <c r="J343" s="13">
        <v>0</v>
      </c>
      <c r="K343" s="14" t="str">
        <f t="shared" ref="K343:K344" si="53">HYPERLINK("http://twitter.com/download/iphone","Twitter for iPhone")</f>
        <v>Twitter for iPhone</v>
      </c>
      <c r="L343" s="13">
        <v>1999</v>
      </c>
      <c r="M343" s="13">
        <v>4649</v>
      </c>
      <c r="N343" s="13">
        <v>56</v>
      </c>
      <c r="O343" s="15"/>
      <c r="P343" s="6">
        <v>40667.831284722226</v>
      </c>
      <c r="Q343" s="12"/>
      <c r="R343" s="18" t="s">
        <v>1609</v>
      </c>
      <c r="S343" s="11" t="s">
        <v>1610</v>
      </c>
      <c r="T343" s="12"/>
      <c r="U343" s="10" t="str">
        <f>HYPERLINK("https://pbs.twimg.com/profile_images/1055304639833391104/Oge-BqUs.jpg","View")</f>
        <v>View</v>
      </c>
    </row>
    <row r="344" spans="1:21" ht="51">
      <c r="A344" s="6">
        <v>43427.545497685191</v>
      </c>
      <c r="B344" s="7" t="str">
        <f>HYPERLINK("https://twitter.com/arantxasantoby","@arantxasantoby")</f>
        <v>@arantxasantoby</v>
      </c>
      <c r="C344" s="8" t="s">
        <v>1611</v>
      </c>
      <c r="D344" s="9" t="s">
        <v>1612</v>
      </c>
      <c r="E344" s="10" t="str">
        <f>HYPERLINK("https://twitter.com/arantxasantoby/status/1065939397227483137","1065939397227483137")</f>
        <v>1065939397227483137</v>
      </c>
      <c r="F344" s="12"/>
      <c r="G344" s="12"/>
      <c r="H344" s="12"/>
      <c r="I344" s="13">
        <v>1</v>
      </c>
      <c r="J344" s="13">
        <v>1</v>
      </c>
      <c r="K344" s="14" t="str">
        <f t="shared" si="53"/>
        <v>Twitter for iPhone</v>
      </c>
      <c r="L344" s="13">
        <v>232</v>
      </c>
      <c r="M344" s="13">
        <v>679</v>
      </c>
      <c r="N344" s="13">
        <v>3</v>
      </c>
      <c r="O344" s="15"/>
      <c r="P344" s="6">
        <v>41033.845648148148</v>
      </c>
      <c r="Q344" s="12"/>
      <c r="R344" s="18" t="s">
        <v>1613</v>
      </c>
      <c r="S344" s="12"/>
      <c r="T344" s="12"/>
      <c r="U344" s="10" t="str">
        <f>HYPERLINK("https://pbs.twimg.com/profile_images/1056577892828807169/Kz14xCuZ.jpg","View")</f>
        <v>View</v>
      </c>
    </row>
    <row r="345" spans="1:21" ht="20.399999999999999">
      <c r="A345" s="6">
        <v>43427.545300925922</v>
      </c>
      <c r="B345" s="7" t="str">
        <f>HYPERLINK("https://twitter.com/juanravivanco","@juanravivanco")</f>
        <v>@juanravivanco</v>
      </c>
      <c r="C345" s="8" t="s">
        <v>1520</v>
      </c>
      <c r="D345" s="9" t="s">
        <v>1614</v>
      </c>
      <c r="E345" s="10" t="str">
        <f>HYPERLINK("https://twitter.com/juanravivanco/status/1065939325534314496","1065939325534314496")</f>
        <v>1065939325534314496</v>
      </c>
      <c r="F345" s="12"/>
      <c r="G345" s="11" t="s">
        <v>1615</v>
      </c>
      <c r="H345" s="12"/>
      <c r="I345" s="13">
        <v>12</v>
      </c>
      <c r="J345" s="13">
        <v>5</v>
      </c>
      <c r="K345" s="14" t="str">
        <f>HYPERLINK("https://www.hootsuite.com","Hootsuite Inc.")</f>
        <v>Hootsuite Inc.</v>
      </c>
      <c r="L345" s="13">
        <v>832</v>
      </c>
      <c r="M345" s="13">
        <v>1349</v>
      </c>
      <c r="N345" s="13">
        <v>9</v>
      </c>
      <c r="O345" s="15"/>
      <c r="P345" s="6">
        <v>40458.404062499998</v>
      </c>
      <c r="Q345" s="17" t="s">
        <v>28</v>
      </c>
      <c r="R345" s="18" t="s">
        <v>1523</v>
      </c>
      <c r="S345" s="12"/>
      <c r="T345" s="12"/>
      <c r="U345" s="10" t="str">
        <f>HYPERLINK("https://pbs.twimg.com/profile_images/987016377008566272/nTEgViPn.jpg","View")</f>
        <v>View</v>
      </c>
    </row>
    <row r="346" spans="1:21" ht="30.6">
      <c r="A346" s="6">
        <v>43427.545289351852</v>
      </c>
      <c r="B346" s="7" t="str">
        <f>HYPERLINK("https://twitter.com/Theon_Greyjoy__","@Theon_Greyjoy__")</f>
        <v>@Theon_Greyjoy__</v>
      </c>
      <c r="C346" s="8" t="s">
        <v>1616</v>
      </c>
      <c r="D346" s="9" t="s">
        <v>1617</v>
      </c>
      <c r="E346" s="10" t="str">
        <f>HYPERLINK("https://twitter.com/Theon_Greyjoy__/status/1065939323927887872","1065939323927887872")</f>
        <v>1065939323927887872</v>
      </c>
      <c r="F346" s="11" t="s">
        <v>1618</v>
      </c>
      <c r="G346" s="12"/>
      <c r="H346" s="12"/>
      <c r="I346" s="13">
        <v>0</v>
      </c>
      <c r="J346" s="13">
        <v>0</v>
      </c>
      <c r="K346" s="14" t="str">
        <f>HYPERLINK("https://buffer.com","Buffer")</f>
        <v>Buffer</v>
      </c>
      <c r="L346" s="13">
        <v>125</v>
      </c>
      <c r="M346" s="13">
        <v>986</v>
      </c>
      <c r="N346" s="13">
        <v>0</v>
      </c>
      <c r="O346" s="15"/>
      <c r="P346" s="6">
        <v>43339.851423611108</v>
      </c>
      <c r="Q346" s="17" t="s">
        <v>283</v>
      </c>
      <c r="R346" s="18" t="s">
        <v>1619</v>
      </c>
      <c r="S346" s="12"/>
      <c r="T346" s="12"/>
      <c r="U346" s="10" t="str">
        <f>HYPERLINK("https://pbs.twimg.com/profile_images/1034145567939674116/CWwy9hyT.jpg","View")</f>
        <v>View</v>
      </c>
    </row>
    <row r="347" spans="1:21" ht="40.799999999999997">
      <c r="A347" s="6">
        <v>43427.545277777783</v>
      </c>
      <c r="B347" s="7" t="str">
        <f t="shared" ref="B347:B348" si="54">HYPERLINK("https://twitter.com/malvsan","@malvsan")</f>
        <v>@malvsan</v>
      </c>
      <c r="C347" s="8" t="s">
        <v>1620</v>
      </c>
      <c r="D347" s="9" t="s">
        <v>1621</v>
      </c>
      <c r="E347" s="10" t="str">
        <f>HYPERLINK("https://twitter.com/malvsan/status/1065939318911447047","1065939318911447047")</f>
        <v>1065939318911447047</v>
      </c>
      <c r="F347" s="12"/>
      <c r="G347" s="11" t="s">
        <v>1622</v>
      </c>
      <c r="H347" s="12"/>
      <c r="I347" s="13">
        <v>10</v>
      </c>
      <c r="J347" s="13">
        <v>6</v>
      </c>
      <c r="K347" s="14" t="str">
        <f t="shared" ref="K347:K349" si="55">HYPERLINK("https://www.hootsuite.com","Hootsuite Inc.")</f>
        <v>Hootsuite Inc.</v>
      </c>
      <c r="L347" s="13">
        <v>320</v>
      </c>
      <c r="M347" s="13">
        <v>900</v>
      </c>
      <c r="N347" s="13">
        <v>5</v>
      </c>
      <c r="O347" s="15"/>
      <c r="P347" s="6">
        <v>40720.473483796297</v>
      </c>
      <c r="Q347" s="17" t="s">
        <v>1623</v>
      </c>
      <c r="R347" s="18" t="s">
        <v>1624</v>
      </c>
      <c r="S347" s="12"/>
      <c r="T347" s="12"/>
      <c r="U347" s="10" t="str">
        <f t="shared" ref="U347:U348" si="56">HYPERLINK("https://pbs.twimg.com/profile_images/1063923597696221185/xrYp9EpP.jpg","View")</f>
        <v>View</v>
      </c>
    </row>
    <row r="348" spans="1:21" ht="51">
      <c r="A348" s="6">
        <v>43427.545277777783</v>
      </c>
      <c r="B348" s="7" t="str">
        <f t="shared" si="54"/>
        <v>@malvsan</v>
      </c>
      <c r="C348" s="8" t="s">
        <v>1620</v>
      </c>
      <c r="D348" s="9" t="s">
        <v>1625</v>
      </c>
      <c r="E348" s="10" t="str">
        <f>HYPERLINK("https://twitter.com/malvsan/status/1065939318093565952","1065939318093565952")</f>
        <v>1065939318093565952</v>
      </c>
      <c r="F348" s="12"/>
      <c r="G348" s="11" t="s">
        <v>1626</v>
      </c>
      <c r="H348" s="12"/>
      <c r="I348" s="13">
        <v>9</v>
      </c>
      <c r="J348" s="13">
        <v>5</v>
      </c>
      <c r="K348" s="14" t="str">
        <f t="shared" si="55"/>
        <v>Hootsuite Inc.</v>
      </c>
      <c r="L348" s="13">
        <v>320</v>
      </c>
      <c r="M348" s="13">
        <v>900</v>
      </c>
      <c r="N348" s="13">
        <v>5</v>
      </c>
      <c r="O348" s="15"/>
      <c r="P348" s="6">
        <v>40720.473483796297</v>
      </c>
      <c r="Q348" s="17" t="s">
        <v>1623</v>
      </c>
      <c r="R348" s="18" t="s">
        <v>1624</v>
      </c>
      <c r="S348" s="12"/>
      <c r="T348" s="12"/>
      <c r="U348" s="10" t="str">
        <f t="shared" si="56"/>
        <v>View</v>
      </c>
    </row>
    <row r="349" spans="1:21" ht="30.6">
      <c r="A349" s="6">
        <v>43427.545266203699</v>
      </c>
      <c r="B349" s="7" t="str">
        <f>HYPERLINK("https://twitter.com/raimontabarnia","@raimontabarnia")</f>
        <v>@raimontabarnia</v>
      </c>
      <c r="C349" s="8" t="s">
        <v>1627</v>
      </c>
      <c r="D349" s="9" t="s">
        <v>1628</v>
      </c>
      <c r="E349" s="10" t="str">
        <f>HYPERLINK("https://twitter.com/raimontabarnia/status/1065939315589611520","1065939315589611520")</f>
        <v>1065939315589611520</v>
      </c>
      <c r="F349" s="12"/>
      <c r="G349" s="11" t="s">
        <v>1629</v>
      </c>
      <c r="H349" s="12"/>
      <c r="I349" s="13">
        <v>14</v>
      </c>
      <c r="J349" s="13">
        <v>5</v>
      </c>
      <c r="K349" s="14" t="str">
        <f t="shared" si="55"/>
        <v>Hootsuite Inc.</v>
      </c>
      <c r="L349" s="13">
        <v>50</v>
      </c>
      <c r="M349" s="13">
        <v>49</v>
      </c>
      <c r="N349" s="13">
        <v>0</v>
      </c>
      <c r="O349" s="15"/>
      <c r="P349" s="6">
        <v>43196.953032407408</v>
      </c>
      <c r="Q349" s="17" t="s">
        <v>1630</v>
      </c>
      <c r="R349" s="18" t="s">
        <v>1631</v>
      </c>
      <c r="S349" s="12"/>
      <c r="T349" s="12"/>
      <c r="U349" s="10" t="str">
        <f>HYPERLINK("https://pbs.twimg.com/profile_images/982369198419726337/Kbpb7j_h.jpg","View")</f>
        <v>View</v>
      </c>
    </row>
    <row r="350" spans="1:21" ht="40.799999999999997">
      <c r="A350" s="6">
        <v>43427.544976851852</v>
      </c>
      <c r="B350" s="7" t="str">
        <f>HYPERLINK("https://twitter.com/vader404","@vader404")</f>
        <v>@vader404</v>
      </c>
      <c r="C350" s="8" t="s">
        <v>1632</v>
      </c>
      <c r="D350" s="9" t="s">
        <v>1633</v>
      </c>
      <c r="E350" s="10" t="str">
        <f>HYPERLINK("https://twitter.com/vader404/status/1065939209251422209","1065939209251422209")</f>
        <v>1065939209251422209</v>
      </c>
      <c r="F350" s="12"/>
      <c r="G350" s="12"/>
      <c r="H350" s="12"/>
      <c r="I350" s="13">
        <v>0</v>
      </c>
      <c r="J350" s="13">
        <v>0</v>
      </c>
      <c r="K350" s="14" t="str">
        <f>HYPERLINK("https://mobile.twitter.com","Twitter Lite")</f>
        <v>Twitter Lite</v>
      </c>
      <c r="L350" s="13">
        <v>348</v>
      </c>
      <c r="M350" s="13">
        <v>1035</v>
      </c>
      <c r="N350" s="13">
        <v>5</v>
      </c>
      <c r="O350" s="15"/>
      <c r="P350" s="6">
        <v>42241.794039351851</v>
      </c>
      <c r="Q350" s="17" t="s">
        <v>1634</v>
      </c>
      <c r="R350" s="18" t="s">
        <v>1635</v>
      </c>
      <c r="S350" s="12"/>
      <c r="T350" s="12"/>
      <c r="U350" s="10" t="str">
        <f>HYPERLINK("https://pbs.twimg.com/profile_images/1057437566880882689/bA4X_HHu.jpg","View")</f>
        <v>View</v>
      </c>
    </row>
    <row r="351" spans="1:21" ht="20.399999999999999">
      <c r="A351" s="6">
        <v>43427.544629629629</v>
      </c>
      <c r="B351" s="7" t="str">
        <f>HYPERLINK("https://twitter.com/AbueloBala","@AbueloBala")</f>
        <v>@AbueloBala</v>
      </c>
      <c r="C351" s="8" t="s">
        <v>1636</v>
      </c>
      <c r="D351" s="9" t="s">
        <v>1637</v>
      </c>
      <c r="E351" s="10" t="str">
        <f>HYPERLINK("https://twitter.com/AbueloBala/status/1065939082050772992","1065939082050772992")</f>
        <v>1065939082050772992</v>
      </c>
      <c r="F351" s="12"/>
      <c r="G351" s="12"/>
      <c r="H351" s="12"/>
      <c r="I351" s="13">
        <v>3</v>
      </c>
      <c r="J351" s="13">
        <v>2</v>
      </c>
      <c r="K351" s="14" t="str">
        <f>HYPERLINK("http://twitter.com/download/android","Twitter for Android")</f>
        <v>Twitter for Android</v>
      </c>
      <c r="L351" s="13">
        <v>7387</v>
      </c>
      <c r="M351" s="13">
        <v>580</v>
      </c>
      <c r="N351" s="13">
        <v>46</v>
      </c>
      <c r="O351" s="15"/>
      <c r="P351" s="6">
        <v>42241.626979166671</v>
      </c>
      <c r="Q351" s="12"/>
      <c r="R351" s="18" t="s">
        <v>1638</v>
      </c>
      <c r="S351" s="12"/>
      <c r="T351" s="12"/>
      <c r="U351" s="10" t="str">
        <f>HYPERLINK("https://pbs.twimg.com/profile_images/1014631004571619328/64skuGbr.jpg","View")</f>
        <v>View</v>
      </c>
    </row>
    <row r="352" spans="1:21" ht="30.6">
      <c r="A352" s="6">
        <v>43427.544606481482</v>
      </c>
      <c r="B352" s="7" t="str">
        <f>HYPERLINK("https://twitter.com/carlesdijous","@carlesdijous")</f>
        <v>@carlesdijous</v>
      </c>
      <c r="C352" s="8" t="s">
        <v>1639</v>
      </c>
      <c r="D352" s="9" t="s">
        <v>1640</v>
      </c>
      <c r="E352" s="10" t="str">
        <f>HYPERLINK("https://twitter.com/carlesdijous/status/1065939077399289856","1065939077399289856")</f>
        <v>1065939077399289856</v>
      </c>
      <c r="F352" s="11" t="s">
        <v>1641</v>
      </c>
      <c r="G352" s="12"/>
      <c r="H352" s="12"/>
      <c r="I352" s="13">
        <v>0</v>
      </c>
      <c r="J352" s="13">
        <v>0</v>
      </c>
      <c r="K352" s="14" t="str">
        <f>HYPERLINK("https://about.twitter.com/products/tweetdeck","TweetDeck")</f>
        <v>TweetDeck</v>
      </c>
      <c r="L352" s="13">
        <v>9182</v>
      </c>
      <c r="M352" s="13">
        <v>5901</v>
      </c>
      <c r="N352" s="13">
        <v>3074</v>
      </c>
      <c r="O352" s="15"/>
      <c r="P352" s="6">
        <v>39810.505740740744</v>
      </c>
      <c r="Q352" s="17" t="s">
        <v>1642</v>
      </c>
      <c r="R352" s="18" t="s">
        <v>1643</v>
      </c>
      <c r="S352" s="11" t="s">
        <v>1644</v>
      </c>
      <c r="T352" s="12"/>
      <c r="U352" s="10" t="str">
        <f>HYPERLINK("https://pbs.twimg.com/profile_images/491086958/CD.JPG","View")</f>
        <v>View</v>
      </c>
    </row>
    <row r="353" spans="1:21" ht="81.599999999999994">
      <c r="A353" s="6">
        <v>43427.544594907406</v>
      </c>
      <c r="B353" s="7" t="str">
        <f>HYPERLINK("https://twitter.com/NaranjaXu","@NaranjaXu")</f>
        <v>@NaranjaXu</v>
      </c>
      <c r="C353" s="8" t="s">
        <v>1645</v>
      </c>
      <c r="D353" s="9" t="s">
        <v>1646</v>
      </c>
      <c r="E353" s="10" t="str">
        <f>HYPERLINK("https://twitter.com/NaranjaXu/status/1065939071351078913","1065939071351078913")</f>
        <v>1065939071351078913</v>
      </c>
      <c r="F353" s="11" t="s">
        <v>1648</v>
      </c>
      <c r="G353" s="11" t="s">
        <v>1649</v>
      </c>
      <c r="H353" s="12"/>
      <c r="I353" s="13">
        <v>63</v>
      </c>
      <c r="J353" s="13">
        <v>43</v>
      </c>
      <c r="K353" s="14" t="str">
        <f>HYPERLINK("http://twitter.com/download/android","Twitter for Android")</f>
        <v>Twitter for Android</v>
      </c>
      <c r="L353" s="13">
        <v>1131</v>
      </c>
      <c r="M353" s="13">
        <v>1369</v>
      </c>
      <c r="N353" s="13">
        <v>3</v>
      </c>
      <c r="O353" s="15"/>
      <c r="P353" s="6">
        <v>43122.725358796291</v>
      </c>
      <c r="Q353" s="17" t="s">
        <v>28</v>
      </c>
      <c r="R353" s="18" t="s">
        <v>1650</v>
      </c>
      <c r="S353" s="12"/>
      <c r="T353" s="12"/>
      <c r="U353" s="10" t="str">
        <f>HYPERLINK("https://pbs.twimg.com/profile_images/973636342688174081/PW63JvWN.jpg","View")</f>
        <v>View</v>
      </c>
    </row>
    <row r="354" spans="1:21" ht="51">
      <c r="A354" s="6">
        <v>43427.544224537036</v>
      </c>
      <c r="B354" s="7" t="str">
        <f>HYPERLINK("https://twitter.com/CsLaRioja","@CsLaRioja")</f>
        <v>@CsLaRioja</v>
      </c>
      <c r="C354" s="8" t="s">
        <v>1154</v>
      </c>
      <c r="D354" s="9" t="s">
        <v>1651</v>
      </c>
      <c r="E354" s="10" t="str">
        <f>HYPERLINK("https://twitter.com/CsLaRioja/status/1065938938941063168","1065938938941063168")</f>
        <v>1065938938941063168</v>
      </c>
      <c r="F354" s="12"/>
      <c r="G354" s="11" t="s">
        <v>1652</v>
      </c>
      <c r="H354" s="12"/>
      <c r="I354" s="13">
        <v>5</v>
      </c>
      <c r="J354" s="13">
        <v>1</v>
      </c>
      <c r="K354" s="14" t="str">
        <f>HYPERLINK("https://about.twitter.com/products/tweetdeck","TweetDeck")</f>
        <v>TweetDeck</v>
      </c>
      <c r="L354" s="13">
        <v>4219</v>
      </c>
      <c r="M354" s="13">
        <v>1618</v>
      </c>
      <c r="N354" s="13">
        <v>83</v>
      </c>
      <c r="O354" s="16" t="s">
        <v>26</v>
      </c>
      <c r="P354" s="6">
        <v>41950.884421296294</v>
      </c>
      <c r="Q354" s="17" t="s">
        <v>1157</v>
      </c>
      <c r="R354" s="18" t="s">
        <v>1158</v>
      </c>
      <c r="S354" s="11" t="s">
        <v>1145</v>
      </c>
      <c r="T354" s="12"/>
      <c r="U354" s="10" t="str">
        <f>HYPERLINK("https://pbs.twimg.com/profile_images/1053530865739988993/qxMztW6q.jpg","View")</f>
        <v>View</v>
      </c>
    </row>
    <row r="355" spans="1:21" ht="40.799999999999997">
      <c r="A355" s="6">
        <v>43427.544224537036</v>
      </c>
      <c r="B355" s="7" t="str">
        <f>HYPERLINK("https://twitter.com/Cs_CLM","@Cs_CLM")</f>
        <v>@Cs_CLM</v>
      </c>
      <c r="C355" s="8" t="s">
        <v>1453</v>
      </c>
      <c r="D355" s="9" t="s">
        <v>1653</v>
      </c>
      <c r="E355" s="10" t="str">
        <f>HYPERLINK("https://twitter.com/Cs_CLM/status/1065938935505973248","1065938935505973248")</f>
        <v>1065938935505973248</v>
      </c>
      <c r="F355" s="12"/>
      <c r="G355" s="11" t="s">
        <v>1654</v>
      </c>
      <c r="H355" s="12"/>
      <c r="I355" s="13">
        <v>13</v>
      </c>
      <c r="J355" s="13">
        <v>6</v>
      </c>
      <c r="K355" s="14" t="str">
        <f>HYPERLINK("http://twitter.com/download/iphone","Twitter for iPhone")</f>
        <v>Twitter for iPhone</v>
      </c>
      <c r="L355" s="13">
        <v>4223</v>
      </c>
      <c r="M355" s="13">
        <v>628</v>
      </c>
      <c r="N355" s="13">
        <v>72</v>
      </c>
      <c r="O355" s="15"/>
      <c r="P355" s="6">
        <v>42106.981793981482</v>
      </c>
      <c r="Q355" s="17" t="s">
        <v>1456</v>
      </c>
      <c r="R355" s="18" t="s">
        <v>1457</v>
      </c>
      <c r="S355" s="11" t="s">
        <v>1458</v>
      </c>
      <c r="T355" s="12"/>
      <c r="U355" s="10" t="str">
        <f>HYPERLINK("https://pbs.twimg.com/profile_images/1053405513923416064/Z9jG76VP.jpg","View")</f>
        <v>View</v>
      </c>
    </row>
    <row r="356" spans="1:21" ht="30.6">
      <c r="A356" s="6">
        <v>43427.544166666667</v>
      </c>
      <c r="B356" s="7" t="str">
        <f>HYPERLINK("https://twitter.com/FMMAS935","@FMMAS935")</f>
        <v>@FMMAS935</v>
      </c>
      <c r="C356" s="8" t="s">
        <v>1655</v>
      </c>
      <c r="D356" s="9" t="s">
        <v>1466</v>
      </c>
      <c r="E356" s="10" t="str">
        <f>HYPERLINK("https://twitter.com/FMMAS935/status/1065938916463820800","1065938916463820800")</f>
        <v>1065938916463820800</v>
      </c>
      <c r="F356" s="11" t="s">
        <v>1656</v>
      </c>
      <c r="G356" s="11" t="s">
        <v>1657</v>
      </c>
      <c r="H356" s="12"/>
      <c r="I356" s="13">
        <v>0</v>
      </c>
      <c r="J356" s="13">
        <v>0</v>
      </c>
      <c r="K356" s="14" t="str">
        <f>HYPERLINK("http://publicize.wp.com/","WordPress.com")</f>
        <v>WordPress.com</v>
      </c>
      <c r="L356" s="13">
        <v>1399</v>
      </c>
      <c r="M356" s="13">
        <v>2884</v>
      </c>
      <c r="N356" s="13">
        <v>15</v>
      </c>
      <c r="O356" s="15"/>
      <c r="P356" s="6">
        <v>41112.109791666662</v>
      </c>
      <c r="Q356" s="17" t="s">
        <v>1658</v>
      </c>
      <c r="R356" s="18" t="s">
        <v>1659</v>
      </c>
      <c r="S356" s="11" t="s">
        <v>1660</v>
      </c>
      <c r="T356" s="12"/>
      <c r="U356" s="10" t="str">
        <f>HYPERLINK("https://pbs.twimg.com/profile_images/1001954231635636224/cvx5tQSn.jpg","View")</f>
        <v>View</v>
      </c>
    </row>
    <row r="357" spans="1:21" ht="51">
      <c r="A357" s="6">
        <v>43427.54383101852</v>
      </c>
      <c r="B357" s="7" t="str">
        <f>HYPERLINK("https://twitter.com/juvini100","@juvini100")</f>
        <v>@juvini100</v>
      </c>
      <c r="C357" s="8" t="s">
        <v>1661</v>
      </c>
      <c r="D357" s="9" t="s">
        <v>1662</v>
      </c>
      <c r="E357" s="10" t="str">
        <f>HYPERLINK("https://twitter.com/juvini100/status/1065938795474952193","1065938795474952193")</f>
        <v>1065938795474952193</v>
      </c>
      <c r="F357" s="12"/>
      <c r="G357" s="12"/>
      <c r="H357" s="12"/>
      <c r="I357" s="13">
        <v>0</v>
      </c>
      <c r="J357" s="13">
        <v>1</v>
      </c>
      <c r="K357" s="14" t="str">
        <f t="shared" ref="K357:K360" si="57">HYPERLINK("http://twitter.com","Twitter Web Client")</f>
        <v>Twitter Web Client</v>
      </c>
      <c r="L357" s="13">
        <v>1248</v>
      </c>
      <c r="M357" s="13">
        <v>4270</v>
      </c>
      <c r="N357" s="13">
        <v>2</v>
      </c>
      <c r="O357" s="15"/>
      <c r="P357" s="6">
        <v>41780.474074074074</v>
      </c>
      <c r="Q357" s="12"/>
      <c r="R357" s="18" t="s">
        <v>1663</v>
      </c>
      <c r="S357" s="12"/>
      <c r="T357" s="12"/>
      <c r="U357" s="10" t="str">
        <f>HYPERLINK("https://pbs.twimg.com/profile_images/1060850438050856962/28V9mRmA.jpg","View")</f>
        <v>View</v>
      </c>
    </row>
    <row r="358" spans="1:21" ht="61.2">
      <c r="A358" s="6">
        <v>43427.543449074074</v>
      </c>
      <c r="B358" s="7" t="str">
        <f>HYPERLINK("https://twitter.com/CiudadanosCs","@CiudadanosCs")</f>
        <v>@CiudadanosCs</v>
      </c>
      <c r="C358" s="8" t="s">
        <v>1664</v>
      </c>
      <c r="D358" s="9" t="s">
        <v>1217</v>
      </c>
      <c r="E358" s="10" t="str">
        <f>HYPERLINK("https://twitter.com/CiudadanosCs/status/1065938656991563776","1065938656991563776")</f>
        <v>1065938656991563776</v>
      </c>
      <c r="F358" s="12"/>
      <c r="G358" s="11" t="s">
        <v>344</v>
      </c>
      <c r="H358" s="12"/>
      <c r="I358" s="13">
        <v>276</v>
      </c>
      <c r="J358" s="13">
        <v>244</v>
      </c>
      <c r="K358" s="14" t="str">
        <f t="shared" si="57"/>
        <v>Twitter Web Client</v>
      </c>
      <c r="L358" s="13">
        <v>486503</v>
      </c>
      <c r="M358" s="13">
        <v>93653</v>
      </c>
      <c r="N358" s="13">
        <v>3318</v>
      </c>
      <c r="O358" s="16" t="s">
        <v>26</v>
      </c>
      <c r="P358" s="6">
        <v>39828.753460648149</v>
      </c>
      <c r="Q358" s="17" t="s">
        <v>28</v>
      </c>
      <c r="R358" s="18" t="s">
        <v>1665</v>
      </c>
      <c r="S358" s="11" t="s">
        <v>1666</v>
      </c>
      <c r="T358" s="12"/>
      <c r="U358" s="10" t="str">
        <f>HYPERLINK("https://pbs.twimg.com/profile_images/1053554096161075200/1z77_zBZ.jpg","View")</f>
        <v>View</v>
      </c>
    </row>
    <row r="359" spans="1:21" ht="30.6">
      <c r="A359" s="6">
        <v>43427.543437500004</v>
      </c>
      <c r="B359" s="7" t="str">
        <f>HYPERLINK("https://twitter.com/lopezbarrancoj4","@lopezbarrancoj4")</f>
        <v>@lopezbarrancoj4</v>
      </c>
      <c r="C359" s="8" t="s">
        <v>1667</v>
      </c>
      <c r="D359" s="9" t="s">
        <v>1668</v>
      </c>
      <c r="E359" s="10" t="str">
        <f>HYPERLINK("https://twitter.com/lopezbarrancoj4/status/1065938651782307841","1065938651782307841")</f>
        <v>1065938651782307841</v>
      </c>
      <c r="F359" s="12"/>
      <c r="G359" s="11" t="s">
        <v>1669</v>
      </c>
      <c r="H359" s="12"/>
      <c r="I359" s="13">
        <v>0</v>
      </c>
      <c r="J359" s="13">
        <v>0</v>
      </c>
      <c r="K359" s="14" t="str">
        <f t="shared" si="57"/>
        <v>Twitter Web Client</v>
      </c>
      <c r="L359" s="13">
        <v>10</v>
      </c>
      <c r="M359" s="13">
        <v>46</v>
      </c>
      <c r="N359" s="13">
        <v>0</v>
      </c>
      <c r="O359" s="15"/>
      <c r="P359" s="6">
        <v>42912.444780092592</v>
      </c>
      <c r="Q359" s="12"/>
      <c r="R359" s="19"/>
      <c r="S359" s="12"/>
      <c r="T359" s="12"/>
      <c r="U359" s="16" t="s">
        <v>373</v>
      </c>
    </row>
    <row r="360" spans="1:21" ht="20.399999999999999">
      <c r="A360" s="6">
        <v>43427.543171296296</v>
      </c>
      <c r="B360" s="7" t="str">
        <f>HYPERLINK("https://twitter.com/Sumate","@Sumate")</f>
        <v>@Sumate</v>
      </c>
      <c r="C360" s="8" t="s">
        <v>1670</v>
      </c>
      <c r="D360" s="9" t="s">
        <v>1671</v>
      </c>
      <c r="E360" s="10" t="str">
        <f>HYPERLINK("https://twitter.com/Sumate/status/1065938554910580736","1065938554910580736")</f>
        <v>1065938554910580736</v>
      </c>
      <c r="F360" s="11" t="s">
        <v>1672</v>
      </c>
      <c r="G360" s="12"/>
      <c r="H360" s="12"/>
      <c r="I360" s="13">
        <v>1</v>
      </c>
      <c r="J360" s="13">
        <v>0</v>
      </c>
      <c r="K360" s="14" t="str">
        <f t="shared" si="57"/>
        <v>Twitter Web Client</v>
      </c>
      <c r="L360" s="13">
        <v>84456</v>
      </c>
      <c r="M360" s="13">
        <v>12697</v>
      </c>
      <c r="N360" s="13">
        <v>933</v>
      </c>
      <c r="O360" s="15"/>
      <c r="P360" s="6">
        <v>39958.878518518519</v>
      </c>
      <c r="Q360" s="17" t="s">
        <v>104</v>
      </c>
      <c r="R360" s="18" t="s">
        <v>1673</v>
      </c>
      <c r="S360" s="11" t="s">
        <v>1674</v>
      </c>
      <c r="T360" s="12"/>
      <c r="U360" s="10" t="str">
        <f>HYPERLINK("https://pbs.twimg.com/profile_images/565059247/logo-sumate.jpg","View")</f>
        <v>View</v>
      </c>
    </row>
    <row r="361" spans="1:21" ht="30.6">
      <c r="A361" s="6">
        <v>43427.543043981481</v>
      </c>
      <c r="B361" s="7" t="str">
        <f>HYPERLINK("https://twitter.com/Apuntoenlinea","@Apuntoenlinea")</f>
        <v>@Apuntoenlinea</v>
      </c>
      <c r="C361" s="8" t="s">
        <v>1675</v>
      </c>
      <c r="D361" s="9" t="s">
        <v>1504</v>
      </c>
      <c r="E361" s="10" t="str">
        <f>HYPERLINK("https://twitter.com/Apuntoenlinea/status/1065938510279049216","1065938510279049216")</f>
        <v>1065938510279049216</v>
      </c>
      <c r="F361" s="11" t="s">
        <v>1676</v>
      </c>
      <c r="G361" s="12"/>
      <c r="H361" s="12"/>
      <c r="I361" s="13">
        <v>1</v>
      </c>
      <c r="J361" s="13">
        <v>1</v>
      </c>
      <c r="K361" s="14" t="str">
        <f>HYPERLINK("https://ifttt.com","IFTTT")</f>
        <v>IFTTT</v>
      </c>
      <c r="L361" s="13">
        <v>1405</v>
      </c>
      <c r="M361" s="13">
        <v>59</v>
      </c>
      <c r="N361" s="13">
        <v>1</v>
      </c>
      <c r="O361" s="15"/>
      <c r="P361" s="6">
        <v>42939.88349537037</v>
      </c>
      <c r="Q361" s="17" t="s">
        <v>1677</v>
      </c>
      <c r="R361" s="18" t="s">
        <v>1678</v>
      </c>
      <c r="S361" s="11" t="s">
        <v>1679</v>
      </c>
      <c r="T361" s="12"/>
      <c r="U361" s="10" t="str">
        <f>HYPERLINK("https://pbs.twimg.com/profile_images/1001086308561948673/5T9PXmrq.jpg","View")</f>
        <v>View</v>
      </c>
    </row>
    <row r="362" spans="1:21" ht="20.399999999999999">
      <c r="A362" s="6">
        <v>43427.543032407411</v>
      </c>
      <c r="B362" s="7" t="str">
        <f>HYPERLINK("https://twitter.com/tantaeuropa","@tantaeuropa")</f>
        <v>@tantaeuropa</v>
      </c>
      <c r="C362" s="8" t="s">
        <v>1680</v>
      </c>
      <c r="D362" s="9" t="s">
        <v>1681</v>
      </c>
      <c r="E362" s="10" t="str">
        <f>HYPERLINK("https://twitter.com/tantaeuropa/status/1065938504327270400","1065938504327270400")</f>
        <v>1065938504327270400</v>
      </c>
      <c r="F362" s="11" t="s">
        <v>1682</v>
      </c>
      <c r="G362" s="11" t="s">
        <v>1683</v>
      </c>
      <c r="H362" s="12"/>
      <c r="I362" s="13">
        <v>1</v>
      </c>
      <c r="J362" s="13">
        <v>0</v>
      </c>
      <c r="K362" s="14" t="str">
        <f>HYPERLINK("http://dogtrack.es","DogTrack_Oficial")</f>
        <v>DogTrack_Oficial</v>
      </c>
      <c r="L362" s="13">
        <v>3959</v>
      </c>
      <c r="M362" s="13">
        <v>3866</v>
      </c>
      <c r="N362" s="13">
        <v>74</v>
      </c>
      <c r="O362" s="15"/>
      <c r="P362" s="6">
        <v>41233.345393518517</v>
      </c>
      <c r="Q362" s="17" t="s">
        <v>1684</v>
      </c>
      <c r="R362" s="18" t="s">
        <v>1685</v>
      </c>
      <c r="S362" s="11" t="s">
        <v>1686</v>
      </c>
      <c r="T362" s="12"/>
      <c r="U362" s="10" t="str">
        <f>HYPERLINK("https://pbs.twimg.com/profile_images/1017347888509222912/58pSyuUP.jpg","View")</f>
        <v>View</v>
      </c>
    </row>
    <row r="363" spans="1:21" ht="30.6">
      <c r="A363" s="6">
        <v>43427.542905092589</v>
      </c>
      <c r="B363" s="7" t="str">
        <f t="shared" ref="B363:B364" si="58">HYPERLINK("https://twitter.com/LeaUE_Brexit","@LeaUE_Brexit")</f>
        <v>@LeaUE_Brexit</v>
      </c>
      <c r="C363" s="8" t="s">
        <v>1687</v>
      </c>
      <c r="D363" s="9" t="s">
        <v>1688</v>
      </c>
      <c r="E363" s="10" t="str">
        <f>HYPERLINK("https://twitter.com/LeaUE_Brexit/status/1065938459024596994","1065938459024596994")</f>
        <v>1065938459024596994</v>
      </c>
      <c r="F363" s="12"/>
      <c r="G363" s="11" t="s">
        <v>1689</v>
      </c>
      <c r="H363" s="12"/>
      <c r="I363" s="13">
        <v>0</v>
      </c>
      <c r="J363" s="13">
        <v>0</v>
      </c>
      <c r="K363" s="14" t="str">
        <f t="shared" ref="K363:K364" si="59">HYPERLINK("https://www.hootsuite.com","Hootsuite Inc.")</f>
        <v>Hootsuite Inc.</v>
      </c>
      <c r="L363" s="13">
        <v>56</v>
      </c>
      <c r="M363" s="13">
        <v>32</v>
      </c>
      <c r="N363" s="13">
        <v>15</v>
      </c>
      <c r="O363" s="15"/>
      <c r="P363" s="6">
        <v>43360.550659722227</v>
      </c>
      <c r="Q363" s="17" t="s">
        <v>1690</v>
      </c>
      <c r="R363" s="18" t="s">
        <v>1691</v>
      </c>
      <c r="S363" s="11" t="s">
        <v>1693</v>
      </c>
      <c r="T363" s="12"/>
      <c r="U363" s="10" t="str">
        <f t="shared" ref="U363:U364" si="60">HYPERLINK("https://pbs.twimg.com/profile_images/1042004480743694336/9kvlmcIP.jpg","View")</f>
        <v>View</v>
      </c>
    </row>
    <row r="364" spans="1:21" ht="51">
      <c r="A364" s="6">
        <v>43427.542905092589</v>
      </c>
      <c r="B364" s="7" t="str">
        <f t="shared" si="58"/>
        <v>@LeaUE_Brexit</v>
      </c>
      <c r="C364" s="8" t="s">
        <v>1687</v>
      </c>
      <c r="D364" s="9" t="s">
        <v>1694</v>
      </c>
      <c r="E364" s="10" t="str">
        <f>HYPERLINK("https://twitter.com/LeaUE_Brexit/status/1065938458856833024","1065938458856833024")</f>
        <v>1065938458856833024</v>
      </c>
      <c r="F364" s="12"/>
      <c r="G364" s="11" t="s">
        <v>1695</v>
      </c>
      <c r="H364" s="12"/>
      <c r="I364" s="13">
        <v>0</v>
      </c>
      <c r="J364" s="13">
        <v>0</v>
      </c>
      <c r="K364" s="14" t="str">
        <f t="shared" si="59"/>
        <v>Hootsuite Inc.</v>
      </c>
      <c r="L364" s="13">
        <v>56</v>
      </c>
      <c r="M364" s="13">
        <v>32</v>
      </c>
      <c r="N364" s="13">
        <v>15</v>
      </c>
      <c r="O364" s="15"/>
      <c r="P364" s="6">
        <v>43360.550659722227</v>
      </c>
      <c r="Q364" s="17" t="s">
        <v>1690</v>
      </c>
      <c r="R364" s="18" t="s">
        <v>1691</v>
      </c>
      <c r="S364" s="11" t="s">
        <v>1693</v>
      </c>
      <c r="T364" s="12"/>
      <c r="U364" s="10" t="str">
        <f t="shared" si="60"/>
        <v>View</v>
      </c>
    </row>
    <row r="365" spans="1:21" ht="40.799999999999997">
      <c r="A365" s="6">
        <v>43427.542719907404</v>
      </c>
      <c r="B365" s="7" t="str">
        <f>HYPERLINK("https://twitter.com/teleSURAgenda_A","@teleSURAgenda_A")</f>
        <v>@teleSURAgenda_A</v>
      </c>
      <c r="C365" s="8" t="s">
        <v>1696</v>
      </c>
      <c r="D365" s="9" t="s">
        <v>1697</v>
      </c>
      <c r="E365" s="10" t="str">
        <f>HYPERLINK("https://twitter.com/teleSURAgenda_A/status/1065938390074429440","1065938390074429440")</f>
        <v>1065938390074429440</v>
      </c>
      <c r="F365" s="12"/>
      <c r="G365" s="12"/>
      <c r="H365" s="12"/>
      <c r="I365" s="13">
        <v>15</v>
      </c>
      <c r="J365" s="13">
        <v>11</v>
      </c>
      <c r="K365" s="14" t="str">
        <f>HYPERLINK("http://twitter.com","Twitter Web Client")</f>
        <v>Twitter Web Client</v>
      </c>
      <c r="L365" s="13">
        <v>28938</v>
      </c>
      <c r="M365" s="13">
        <v>29</v>
      </c>
      <c r="N365" s="13">
        <v>196</v>
      </c>
      <c r="O365" s="15"/>
      <c r="P365" s="6">
        <v>40287.728229166663</v>
      </c>
      <c r="Q365" s="17" t="s">
        <v>1698</v>
      </c>
      <c r="R365" s="18" t="s">
        <v>1699</v>
      </c>
      <c r="S365" s="11" t="s">
        <v>1700</v>
      </c>
      <c r="T365" s="12"/>
      <c r="U365" s="10" t="str">
        <f>HYPERLINK("https://pbs.twimg.com/profile_images/677512583524564992/hlAQSicK.jpg","View")</f>
        <v>View</v>
      </c>
    </row>
    <row r="366" spans="1:21" ht="30.6">
      <c r="A366" s="6">
        <v>43427.542557870373</v>
      </c>
      <c r="B366" s="7" t="str">
        <f>HYPERLINK("https://twitter.com/DoraLaE00518830","@DoraLaE00518830")</f>
        <v>@DoraLaE00518830</v>
      </c>
      <c r="C366" s="8" t="s">
        <v>1701</v>
      </c>
      <c r="D366" s="9" t="s">
        <v>1702</v>
      </c>
      <c r="E366" s="10" t="str">
        <f>HYPERLINK("https://twitter.com/DoraLaE00518830/status/1065938331895300097","1065938331895300097")</f>
        <v>1065938331895300097</v>
      </c>
      <c r="F366" s="12"/>
      <c r="G366" s="11" t="s">
        <v>1703</v>
      </c>
      <c r="H366" s="12"/>
      <c r="I366" s="13">
        <v>20</v>
      </c>
      <c r="J366" s="13">
        <v>16</v>
      </c>
      <c r="K366" s="14" t="str">
        <f>HYPERLINK("http://twitter.com/download/iphone","Twitter for iPhone")</f>
        <v>Twitter for iPhone</v>
      </c>
      <c r="L366" s="13">
        <v>255</v>
      </c>
      <c r="M366" s="13">
        <v>355</v>
      </c>
      <c r="N366" s="13">
        <v>2</v>
      </c>
      <c r="O366" s="15"/>
      <c r="P366" s="6">
        <v>43296.786979166667</v>
      </c>
      <c r="Q366" s="17" t="s">
        <v>28</v>
      </c>
      <c r="R366" s="18" t="s">
        <v>1704</v>
      </c>
      <c r="S366" s="12"/>
      <c r="T366" s="12"/>
      <c r="U366" s="10" t="str">
        <f>HYPERLINK("https://pbs.twimg.com/profile_images/1064069473286656000/-KMYqn_K.jpg","View")</f>
        <v>View</v>
      </c>
    </row>
    <row r="367" spans="1:21" ht="40.799999999999997">
      <c r="A367" s="6">
        <v>43427.542233796295</v>
      </c>
      <c r="B367" s="7" t="str">
        <f>HYPERLINK("https://twitter.com/Cambio16","@Cambio16")</f>
        <v>@Cambio16</v>
      </c>
      <c r="C367" s="8" t="s">
        <v>22</v>
      </c>
      <c r="D367" s="9" t="s">
        <v>1705</v>
      </c>
      <c r="E367" s="10" t="str">
        <f>HYPERLINK("https://twitter.com/Cambio16/status/1065938216757403648","1065938216757403648")</f>
        <v>1065938216757403648</v>
      </c>
      <c r="F367" s="11" t="s">
        <v>1706</v>
      </c>
      <c r="G367" s="11" t="s">
        <v>1707</v>
      </c>
      <c r="H367" s="12"/>
      <c r="I367" s="13">
        <v>0</v>
      </c>
      <c r="J367" s="13">
        <v>0</v>
      </c>
      <c r="K367" s="14" t="str">
        <f t="shared" ref="K367:K375" si="61">HYPERLINK("https://www.hootsuite.com","Hootsuite Inc.")</f>
        <v>Hootsuite Inc.</v>
      </c>
      <c r="L367" s="13">
        <v>17345</v>
      </c>
      <c r="M367" s="13">
        <v>765</v>
      </c>
      <c r="N367" s="13">
        <v>499</v>
      </c>
      <c r="O367" s="15"/>
      <c r="P367" s="6">
        <v>40341.492245370369</v>
      </c>
      <c r="Q367" s="17" t="s">
        <v>27</v>
      </c>
      <c r="R367" s="18" t="s">
        <v>30</v>
      </c>
      <c r="S367" s="11" t="s">
        <v>31</v>
      </c>
      <c r="T367" s="12"/>
      <c r="U367" s="10" t="str">
        <f>HYPERLINK("https://pbs.twimg.com/profile_images/1060221846208069632/vJfJ3_T5.jpg","View")</f>
        <v>View</v>
      </c>
    </row>
    <row r="368" spans="1:21" ht="51">
      <c r="A368" s="6">
        <v>43427.541967592595</v>
      </c>
      <c r="B368" s="7" t="str">
        <f>HYPERLINK("https://twitter.com/PCamorrista","@PCamorrista")</f>
        <v>@PCamorrista</v>
      </c>
      <c r="C368" s="8" t="s">
        <v>739</v>
      </c>
      <c r="D368" s="9" t="s">
        <v>1708</v>
      </c>
      <c r="E368" s="10" t="str">
        <f>HYPERLINK("https://twitter.com/PCamorrista/status/1065938117625110528","1065938117625110528")</f>
        <v>1065938117625110528</v>
      </c>
      <c r="F368" s="12"/>
      <c r="G368" s="11" t="s">
        <v>1709</v>
      </c>
      <c r="H368" s="12"/>
      <c r="I368" s="13">
        <v>16</v>
      </c>
      <c r="J368" s="13">
        <v>11</v>
      </c>
      <c r="K368" s="14" t="str">
        <f t="shared" si="61"/>
        <v>Hootsuite Inc.</v>
      </c>
      <c r="L368" s="13">
        <v>1953</v>
      </c>
      <c r="M368" s="13">
        <v>1977</v>
      </c>
      <c r="N368" s="13">
        <v>10</v>
      </c>
      <c r="O368" s="15"/>
      <c r="P368" s="6">
        <v>43114.384884259256</v>
      </c>
      <c r="Q368" s="17" t="s">
        <v>28</v>
      </c>
      <c r="R368" s="18" t="s">
        <v>742</v>
      </c>
      <c r="S368" s="11" t="s">
        <v>743</v>
      </c>
      <c r="T368" s="12"/>
      <c r="U368" s="10" t="str">
        <f>HYPERLINK("https://pbs.twimg.com/profile_images/952459031083397120/u6DBThkF.jpg","View")</f>
        <v>View</v>
      </c>
    </row>
    <row r="369" spans="1:21" ht="40.799999999999997">
      <c r="A369" s="6">
        <v>43427.541956018518</v>
      </c>
      <c r="B369" s="7" t="str">
        <f t="shared" ref="B369:B370" si="62">HYPERLINK("https://twitter.com/juanravivanco","@juanravivanco")</f>
        <v>@juanravivanco</v>
      </c>
      <c r="C369" s="8" t="s">
        <v>1520</v>
      </c>
      <c r="D369" s="9" t="s">
        <v>1710</v>
      </c>
      <c r="E369" s="10" t="str">
        <f>HYPERLINK("https://twitter.com/juanravivanco/status/1065938113149771782","1065938113149771782")</f>
        <v>1065938113149771782</v>
      </c>
      <c r="F369" s="12"/>
      <c r="G369" s="11" t="s">
        <v>1711</v>
      </c>
      <c r="H369" s="12"/>
      <c r="I369" s="13">
        <v>5</v>
      </c>
      <c r="J369" s="13">
        <v>3</v>
      </c>
      <c r="K369" s="14" t="str">
        <f t="shared" si="61"/>
        <v>Hootsuite Inc.</v>
      </c>
      <c r="L369" s="13">
        <v>832</v>
      </c>
      <c r="M369" s="13">
        <v>1349</v>
      </c>
      <c r="N369" s="13">
        <v>9</v>
      </c>
      <c r="O369" s="15"/>
      <c r="P369" s="6">
        <v>40458.404062499998</v>
      </c>
      <c r="Q369" s="17" t="s">
        <v>28</v>
      </c>
      <c r="R369" s="18" t="s">
        <v>1523</v>
      </c>
      <c r="S369" s="12"/>
      <c r="T369" s="12"/>
      <c r="U369" s="10" t="str">
        <f t="shared" ref="U369:U370" si="63">HYPERLINK("https://pbs.twimg.com/profile_images/987016377008566272/nTEgViPn.jpg","View")</f>
        <v>View</v>
      </c>
    </row>
    <row r="370" spans="1:21" ht="20.399999999999999">
      <c r="A370" s="6">
        <v>43427.541944444441</v>
      </c>
      <c r="B370" s="7" t="str">
        <f t="shared" si="62"/>
        <v>@juanravivanco</v>
      </c>
      <c r="C370" s="8" t="s">
        <v>1520</v>
      </c>
      <c r="D370" s="9" t="s">
        <v>1712</v>
      </c>
      <c r="E370" s="10" t="str">
        <f>HYPERLINK("https://twitter.com/juanravivanco/status/1065938112315039744","1065938112315039744")</f>
        <v>1065938112315039744</v>
      </c>
      <c r="F370" s="12"/>
      <c r="G370" s="11" t="s">
        <v>1713</v>
      </c>
      <c r="H370" s="12"/>
      <c r="I370" s="13">
        <v>9</v>
      </c>
      <c r="J370" s="13">
        <v>6</v>
      </c>
      <c r="K370" s="14" t="str">
        <f t="shared" si="61"/>
        <v>Hootsuite Inc.</v>
      </c>
      <c r="L370" s="13">
        <v>832</v>
      </c>
      <c r="M370" s="13">
        <v>1349</v>
      </c>
      <c r="N370" s="13">
        <v>9</v>
      </c>
      <c r="O370" s="15"/>
      <c r="P370" s="6">
        <v>40458.404062499998</v>
      </c>
      <c r="Q370" s="17" t="s">
        <v>28</v>
      </c>
      <c r="R370" s="18" t="s">
        <v>1523</v>
      </c>
      <c r="S370" s="12"/>
      <c r="T370" s="12"/>
      <c r="U370" s="10" t="str">
        <f t="shared" si="63"/>
        <v>View</v>
      </c>
    </row>
    <row r="371" spans="1:21" ht="51">
      <c r="A371" s="6">
        <v>43427.541921296295</v>
      </c>
      <c r="B371" s="7" t="str">
        <f t="shared" ref="B371:B372" si="64">HYPERLINK("https://twitter.com/PCamorrista","@PCamorrista")</f>
        <v>@PCamorrista</v>
      </c>
      <c r="C371" s="8" t="s">
        <v>739</v>
      </c>
      <c r="D371" s="9" t="s">
        <v>1714</v>
      </c>
      <c r="E371" s="10" t="str">
        <f>HYPERLINK("https://twitter.com/PCamorrista/status/1065938104102604801","1065938104102604801")</f>
        <v>1065938104102604801</v>
      </c>
      <c r="F371" s="11" t="s">
        <v>1715</v>
      </c>
      <c r="G371" s="12"/>
      <c r="H371" s="12"/>
      <c r="I371" s="13">
        <v>7</v>
      </c>
      <c r="J371" s="13">
        <v>6</v>
      </c>
      <c r="K371" s="14" t="str">
        <f t="shared" si="61"/>
        <v>Hootsuite Inc.</v>
      </c>
      <c r="L371" s="13">
        <v>1953</v>
      </c>
      <c r="M371" s="13">
        <v>1977</v>
      </c>
      <c r="N371" s="13">
        <v>10</v>
      </c>
      <c r="O371" s="15"/>
      <c r="P371" s="6">
        <v>43114.384884259256</v>
      </c>
      <c r="Q371" s="17" t="s">
        <v>28</v>
      </c>
      <c r="R371" s="18" t="s">
        <v>742</v>
      </c>
      <c r="S371" s="11" t="s">
        <v>743</v>
      </c>
      <c r="T371" s="12"/>
      <c r="U371" s="10" t="str">
        <f t="shared" ref="U371:U372" si="65">HYPERLINK("https://pbs.twimg.com/profile_images/952459031083397120/u6DBThkF.jpg","View")</f>
        <v>View</v>
      </c>
    </row>
    <row r="372" spans="1:21" ht="40.799999999999997">
      <c r="A372" s="6">
        <v>43427.541909722218</v>
      </c>
      <c r="B372" s="7" t="str">
        <f t="shared" si="64"/>
        <v>@PCamorrista</v>
      </c>
      <c r="C372" s="8" t="s">
        <v>739</v>
      </c>
      <c r="D372" s="9" t="s">
        <v>1716</v>
      </c>
      <c r="E372" s="10" t="str">
        <f>HYPERLINK("https://twitter.com/PCamorrista/status/1065938097102381057","1065938097102381057")</f>
        <v>1065938097102381057</v>
      </c>
      <c r="F372" s="12"/>
      <c r="G372" s="11" t="s">
        <v>1717</v>
      </c>
      <c r="H372" s="12"/>
      <c r="I372" s="13">
        <v>7</v>
      </c>
      <c r="J372" s="13">
        <v>5</v>
      </c>
      <c r="K372" s="14" t="str">
        <f t="shared" si="61"/>
        <v>Hootsuite Inc.</v>
      </c>
      <c r="L372" s="13">
        <v>1953</v>
      </c>
      <c r="M372" s="13">
        <v>1977</v>
      </c>
      <c r="N372" s="13">
        <v>10</v>
      </c>
      <c r="O372" s="15"/>
      <c r="P372" s="6">
        <v>43114.384884259256</v>
      </c>
      <c r="Q372" s="17" t="s">
        <v>28</v>
      </c>
      <c r="R372" s="18" t="s">
        <v>742</v>
      </c>
      <c r="S372" s="11" t="s">
        <v>743</v>
      </c>
      <c r="T372" s="12"/>
      <c r="U372" s="10" t="str">
        <f t="shared" si="65"/>
        <v>View</v>
      </c>
    </row>
    <row r="373" spans="1:21" ht="30.6">
      <c r="A373" s="6">
        <v>43427.541886574079</v>
      </c>
      <c r="B373" s="7" t="str">
        <f>HYPERLINK("https://twitter.com/raimontabarnia","@raimontabarnia")</f>
        <v>@raimontabarnia</v>
      </c>
      <c r="C373" s="8" t="s">
        <v>1627</v>
      </c>
      <c r="D373" s="9" t="s">
        <v>1718</v>
      </c>
      <c r="E373" s="10" t="str">
        <f>HYPERLINK("https://twitter.com/raimontabarnia/status/1065938090131361793","1065938090131361793")</f>
        <v>1065938090131361793</v>
      </c>
      <c r="F373" s="12"/>
      <c r="G373" s="11" t="s">
        <v>1719</v>
      </c>
      <c r="H373" s="12"/>
      <c r="I373" s="13">
        <v>9</v>
      </c>
      <c r="J373" s="13">
        <v>2</v>
      </c>
      <c r="K373" s="14" t="str">
        <f t="shared" si="61"/>
        <v>Hootsuite Inc.</v>
      </c>
      <c r="L373" s="13">
        <v>50</v>
      </c>
      <c r="M373" s="13">
        <v>49</v>
      </c>
      <c r="N373" s="13">
        <v>0</v>
      </c>
      <c r="O373" s="15"/>
      <c r="P373" s="6">
        <v>43196.953032407408</v>
      </c>
      <c r="Q373" s="17" t="s">
        <v>1630</v>
      </c>
      <c r="R373" s="18" t="s">
        <v>1631</v>
      </c>
      <c r="S373" s="12"/>
      <c r="T373" s="12"/>
      <c r="U373" s="10" t="str">
        <f>HYPERLINK("https://pbs.twimg.com/profile_images/982369198419726337/Kbpb7j_h.jpg","View")</f>
        <v>View</v>
      </c>
    </row>
    <row r="374" spans="1:21" ht="40.799999999999997">
      <c r="A374" s="6">
        <v>43427.541874999995</v>
      </c>
      <c r="B374" s="7" t="str">
        <f>HYPERLINK("https://twitter.com/PCamorrista","@PCamorrista")</f>
        <v>@PCamorrista</v>
      </c>
      <c r="C374" s="8" t="s">
        <v>739</v>
      </c>
      <c r="D374" s="9" t="s">
        <v>1721</v>
      </c>
      <c r="E374" s="10" t="str">
        <f>HYPERLINK("https://twitter.com/PCamorrista/status/1065938087098937344","1065938087098937344")</f>
        <v>1065938087098937344</v>
      </c>
      <c r="F374" s="11" t="s">
        <v>1722</v>
      </c>
      <c r="G374" s="12"/>
      <c r="H374" s="12"/>
      <c r="I374" s="13">
        <v>7</v>
      </c>
      <c r="J374" s="13">
        <v>5</v>
      </c>
      <c r="K374" s="14" t="str">
        <f t="shared" si="61"/>
        <v>Hootsuite Inc.</v>
      </c>
      <c r="L374" s="13">
        <v>1953</v>
      </c>
      <c r="M374" s="13">
        <v>1977</v>
      </c>
      <c r="N374" s="13">
        <v>10</v>
      </c>
      <c r="O374" s="15"/>
      <c r="P374" s="6">
        <v>43114.384884259256</v>
      </c>
      <c r="Q374" s="17" t="s">
        <v>28</v>
      </c>
      <c r="R374" s="18" t="s">
        <v>742</v>
      </c>
      <c r="S374" s="11" t="s">
        <v>743</v>
      </c>
      <c r="T374" s="12"/>
      <c r="U374" s="10" t="str">
        <f>HYPERLINK("https://pbs.twimg.com/profile_images/952459031083397120/u6DBThkF.jpg","View")</f>
        <v>View</v>
      </c>
    </row>
    <row r="375" spans="1:21" ht="20.399999999999999">
      <c r="A375" s="6">
        <v>43427.541863425926</v>
      </c>
      <c r="B375" s="7" t="str">
        <f>HYPERLINK("https://twitter.com/oscartillo2","@oscartillo2")</f>
        <v>@oscartillo2</v>
      </c>
      <c r="C375" s="8" t="s">
        <v>1723</v>
      </c>
      <c r="D375" s="9" t="s">
        <v>1724</v>
      </c>
      <c r="E375" s="10" t="str">
        <f>HYPERLINK("https://twitter.com/oscartillo2/status/1065938082606841856","1065938082606841856")</f>
        <v>1065938082606841856</v>
      </c>
      <c r="F375" s="12"/>
      <c r="G375" s="11" t="s">
        <v>1725</v>
      </c>
      <c r="H375" s="12"/>
      <c r="I375" s="13">
        <v>17</v>
      </c>
      <c r="J375" s="13">
        <v>10</v>
      </c>
      <c r="K375" s="14" t="str">
        <f t="shared" si="61"/>
        <v>Hootsuite Inc.</v>
      </c>
      <c r="L375" s="13">
        <v>216</v>
      </c>
      <c r="M375" s="13">
        <v>353</v>
      </c>
      <c r="N375" s="13">
        <v>3</v>
      </c>
      <c r="O375" s="15"/>
      <c r="P375" s="6">
        <v>42149.92863425926</v>
      </c>
      <c r="Q375" s="12"/>
      <c r="R375" s="18" t="s">
        <v>1726</v>
      </c>
      <c r="S375" s="12"/>
      <c r="T375" s="12"/>
      <c r="U375" s="10" t="str">
        <f>HYPERLINK("https://pbs.twimg.com/profile_images/903115837745352708/p05Tkeui.jpg","View")</f>
        <v>View</v>
      </c>
    </row>
    <row r="376" spans="1:21" ht="40.799999999999997">
      <c r="A376" s="6">
        <v>43427.541666666672</v>
      </c>
      <c r="B376" s="7" t="str">
        <f>HYPERLINK("https://twitter.com/El_Plural","@El_Plural")</f>
        <v>@El_Plural</v>
      </c>
      <c r="C376" s="8" t="s">
        <v>1727</v>
      </c>
      <c r="D376" s="9" t="s">
        <v>1728</v>
      </c>
      <c r="E376" s="10" t="str">
        <f>HYPERLINK("https://twitter.com/El_Plural/status/1065938010909241345","1065938010909241345")</f>
        <v>1065938010909241345</v>
      </c>
      <c r="F376" s="11" t="s">
        <v>1729</v>
      </c>
      <c r="G376" s="12"/>
      <c r="H376" s="12"/>
      <c r="I376" s="13">
        <v>3</v>
      </c>
      <c r="J376" s="13">
        <v>0</v>
      </c>
      <c r="K376" s="14" t="str">
        <f>HYPERLINK("https://about.twitter.com/products/tweetdeck","TweetDeck")</f>
        <v>TweetDeck</v>
      </c>
      <c r="L376" s="13">
        <v>71891</v>
      </c>
      <c r="M376" s="13">
        <v>1644</v>
      </c>
      <c r="N376" s="13">
        <v>2012</v>
      </c>
      <c r="O376" s="15"/>
      <c r="P376" s="6">
        <v>40351.51053240741</v>
      </c>
      <c r="Q376" s="17" t="s">
        <v>28</v>
      </c>
      <c r="R376" s="18" t="s">
        <v>1730</v>
      </c>
      <c r="S376" s="11" t="s">
        <v>1731</v>
      </c>
      <c r="T376" s="12"/>
      <c r="U376" s="10" t="str">
        <f>HYPERLINK("https://pbs.twimg.com/profile_images/1017707018138857473/kUt8X2tn.jpg","View")</f>
        <v>View</v>
      </c>
    </row>
    <row r="377" spans="1:21" ht="30.6">
      <c r="A377" s="6">
        <v>43427.541504629626</v>
      </c>
      <c r="B377" s="7" t="str">
        <f>HYPERLINK("https://twitter.com/mdlcreal","@mdlcreal")</f>
        <v>@mdlcreal</v>
      </c>
      <c r="C377" s="8" t="s">
        <v>1732</v>
      </c>
      <c r="D377" s="9" t="s">
        <v>1733</v>
      </c>
      <c r="E377" s="10" t="str">
        <f>HYPERLINK("https://twitter.com/mdlcreal/status/1065937952096874496","1065937952096874496")</f>
        <v>1065937952096874496</v>
      </c>
      <c r="F377" s="17" t="s">
        <v>1734</v>
      </c>
      <c r="G377" s="12"/>
      <c r="H377" s="12"/>
      <c r="I377" s="13">
        <v>0</v>
      </c>
      <c r="J377" s="13">
        <v>0</v>
      </c>
      <c r="K377" s="14" t="str">
        <f>HYPERLINK("http://twitter.com/download/android","Twitter for Android")</f>
        <v>Twitter for Android</v>
      </c>
      <c r="L377" s="13">
        <v>492</v>
      </c>
      <c r="M377" s="13">
        <v>2119</v>
      </c>
      <c r="N377" s="13">
        <v>4</v>
      </c>
      <c r="O377" s="15"/>
      <c r="P377" s="6">
        <v>41538.089641203704</v>
      </c>
      <c r="Q377" s="12"/>
      <c r="R377" s="18" t="s">
        <v>1735</v>
      </c>
      <c r="S377" s="12"/>
      <c r="T377" s="12"/>
      <c r="U377" s="10" t="str">
        <f>HYPERLINK("https://pbs.twimg.com/profile_images/764873368969568256/azrvR3rN.jpg","View")</f>
        <v>View</v>
      </c>
    </row>
    <row r="378" spans="1:21" ht="40.799999999999997">
      <c r="A378" s="6">
        <v>43427.540856481486</v>
      </c>
      <c r="B378" s="7" t="str">
        <f>HYPERLINK("https://twitter.com/RAFADOR8476NADA","@RAFADOR8476NADA")</f>
        <v>@RAFADOR8476NADA</v>
      </c>
      <c r="C378" s="8" t="s">
        <v>1736</v>
      </c>
      <c r="D378" s="9" t="s">
        <v>1737</v>
      </c>
      <c r="E378" s="10" t="str">
        <f>HYPERLINK("https://twitter.com/RAFADOR8476NADA/status/1065937716624453632","1065937716624453632")</f>
        <v>1065937716624453632</v>
      </c>
      <c r="F378" s="11" t="s">
        <v>1738</v>
      </c>
      <c r="G378" s="12"/>
      <c r="H378" s="12"/>
      <c r="I378" s="13">
        <v>3</v>
      </c>
      <c r="J378" s="13">
        <v>2</v>
      </c>
      <c r="K378" s="14" t="str">
        <f>HYPERLINK("http://publicize.wp.com/","WordPress.com")</f>
        <v>WordPress.com</v>
      </c>
      <c r="L378" s="13">
        <v>5248</v>
      </c>
      <c r="M378" s="13">
        <v>1532</v>
      </c>
      <c r="N378" s="13">
        <v>65</v>
      </c>
      <c r="O378" s="15"/>
      <c r="P378" s="6">
        <v>41863.949560185181</v>
      </c>
      <c r="Q378" s="17" t="s">
        <v>1739</v>
      </c>
      <c r="R378" s="18" t="s">
        <v>1740</v>
      </c>
      <c r="S378" s="11" t="s">
        <v>1741</v>
      </c>
      <c r="T378" s="12"/>
      <c r="U378" s="10" t="str">
        <f>HYPERLINK("https://pbs.twimg.com/profile_images/918171601568522240/8B1KHMcU.jpg","View")</f>
        <v>View</v>
      </c>
    </row>
    <row r="379" spans="1:21" ht="40.799999999999997">
      <c r="A379" s="6">
        <v>43427.54</v>
      </c>
      <c r="B379" s="7" t="str">
        <f>HYPERLINK("https://twitter.com/Jorco11","@Jorco11")</f>
        <v>@Jorco11</v>
      </c>
      <c r="C379" s="8" t="s">
        <v>1742</v>
      </c>
      <c r="D379" s="9" t="s">
        <v>1743</v>
      </c>
      <c r="E379" s="10" t="str">
        <f>HYPERLINK("https://twitter.com/Jorco11/status/1065937405683879937","1065937405683879937")</f>
        <v>1065937405683879937</v>
      </c>
      <c r="F379" s="11" t="s">
        <v>1744</v>
      </c>
      <c r="G379" s="12"/>
      <c r="H379" s="12"/>
      <c r="I379" s="13">
        <v>0</v>
      </c>
      <c r="J379" s="13">
        <v>0</v>
      </c>
      <c r="K379" s="14" t="str">
        <f>HYPERLINK("http://www.facebook.com/twitter","Facebook")</f>
        <v>Facebook</v>
      </c>
      <c r="L379" s="13">
        <v>600</v>
      </c>
      <c r="M379" s="13">
        <v>1001</v>
      </c>
      <c r="N379" s="13">
        <v>21</v>
      </c>
      <c r="O379" s="15"/>
      <c r="P379" s="6">
        <v>40181.088680555556</v>
      </c>
      <c r="Q379" s="17" t="s">
        <v>1745</v>
      </c>
      <c r="R379" s="19"/>
      <c r="S379" s="12"/>
      <c r="T379" s="12"/>
      <c r="U379" s="10" t="str">
        <f>HYPERLINK("https://pbs.twimg.com/profile_images/827487786924175361/Gp7uw-YN.jpg","View")</f>
        <v>View</v>
      </c>
    </row>
    <row r="380" spans="1:21" ht="20.399999999999999">
      <c r="A380" s="6">
        <v>43427.539131944446</v>
      </c>
      <c r="B380" s="7" t="str">
        <f>HYPERLINK("https://twitter.com/Belda1954","@Belda1954")</f>
        <v>@Belda1954</v>
      </c>
      <c r="C380" s="8" t="s">
        <v>1746</v>
      </c>
      <c r="D380" s="9" t="s">
        <v>1596</v>
      </c>
      <c r="E380" s="10" t="str">
        <f>HYPERLINK("https://twitter.com/Belda1954/status/1065937091048206336","1065937091048206336")</f>
        <v>1065937091048206336</v>
      </c>
      <c r="F380" s="11" t="s">
        <v>87</v>
      </c>
      <c r="G380" s="12"/>
      <c r="H380" s="12"/>
      <c r="I380" s="13">
        <v>0</v>
      </c>
      <c r="J380" s="13">
        <v>0</v>
      </c>
      <c r="K380" s="14" t="str">
        <f t="shared" ref="K380:K381" si="66">HYPERLINK("http://twitter.com","Twitter Web Client")</f>
        <v>Twitter Web Client</v>
      </c>
      <c r="L380" s="13">
        <v>333</v>
      </c>
      <c r="M380" s="13">
        <v>1031</v>
      </c>
      <c r="N380" s="13">
        <v>7</v>
      </c>
      <c r="O380" s="15"/>
      <c r="P380" s="6">
        <v>40445.780740740738</v>
      </c>
      <c r="Q380" s="17" t="s">
        <v>28</v>
      </c>
      <c r="R380" s="18" t="s">
        <v>1747</v>
      </c>
      <c r="S380" s="12"/>
      <c r="T380" s="12"/>
      <c r="U380" s="10" t="str">
        <f>HYPERLINK("https://pbs.twimg.com/profile_images/760042410126737408/0vT_CbAN.jpg","View")</f>
        <v>View</v>
      </c>
    </row>
    <row r="381" spans="1:21" ht="30.6">
      <c r="A381" s="6">
        <v>43427.538043981476</v>
      </c>
      <c r="B381" s="7" t="str">
        <f>HYPERLINK("https://twitter.com/DiarioDom","@DiarioDom")</f>
        <v>@DiarioDom</v>
      </c>
      <c r="C381" s="8" t="s">
        <v>1748</v>
      </c>
      <c r="D381" s="9" t="s">
        <v>1334</v>
      </c>
      <c r="E381" s="10" t="str">
        <f>HYPERLINK("https://twitter.com/DiarioDom/status/1065936697676976128","1065936697676976128")</f>
        <v>1065936697676976128</v>
      </c>
      <c r="F381" s="11" t="s">
        <v>1749</v>
      </c>
      <c r="G381" s="11" t="s">
        <v>1750</v>
      </c>
      <c r="H381" s="12"/>
      <c r="I381" s="13">
        <v>0</v>
      </c>
      <c r="J381" s="13">
        <v>0</v>
      </c>
      <c r="K381" s="14" t="str">
        <f t="shared" si="66"/>
        <v>Twitter Web Client</v>
      </c>
      <c r="L381" s="13">
        <v>1079</v>
      </c>
      <c r="M381" s="13">
        <v>1064</v>
      </c>
      <c r="N381" s="13">
        <v>22</v>
      </c>
      <c r="O381" s="15"/>
      <c r="P381" s="6">
        <v>40752.747037037036</v>
      </c>
      <c r="Q381" s="12"/>
      <c r="R381" s="18" t="s">
        <v>1751</v>
      </c>
      <c r="S381" s="11" t="s">
        <v>1752</v>
      </c>
      <c r="T381" s="12"/>
      <c r="U381" s="10" t="str">
        <f>HYPERLINK("https://pbs.twimg.com/profile_images/2780663092/32af47db3e792f08358db651fb9e642a.png","View")</f>
        <v>View</v>
      </c>
    </row>
    <row r="382" spans="1:21" ht="40.799999999999997">
      <c r="A382" s="6">
        <v>43427.537870370375</v>
      </c>
      <c r="B382" s="7" t="str">
        <f>HYPERLINK("https://twitter.com/ElMundoOpinion","@ElMundoOpinion")</f>
        <v>@ElMundoOpinion</v>
      </c>
      <c r="C382" s="8" t="s">
        <v>1753</v>
      </c>
      <c r="D382" s="9" t="s">
        <v>1754</v>
      </c>
      <c r="E382" s="10" t="str">
        <f>HYPERLINK("https://twitter.com/ElMundoOpinion/status/1065936633952968705","1065936633952968705")</f>
        <v>1065936633952968705</v>
      </c>
      <c r="F382" s="11" t="s">
        <v>1755</v>
      </c>
      <c r="G382" s="12"/>
      <c r="H382" s="12"/>
      <c r="I382" s="13">
        <v>34</v>
      </c>
      <c r="J382" s="13">
        <v>44</v>
      </c>
      <c r="K382" s="14" t="str">
        <f>HYPERLINK("https://about.twitter.com/products/tweetdeck","TweetDeck")</f>
        <v>TweetDeck</v>
      </c>
      <c r="L382" s="13">
        <v>4559</v>
      </c>
      <c r="M382" s="13">
        <v>190</v>
      </c>
      <c r="N382" s="13">
        <v>99</v>
      </c>
      <c r="O382" s="16" t="s">
        <v>26</v>
      </c>
      <c r="P382" s="6">
        <v>40199.5784837963</v>
      </c>
      <c r="Q382" s="17" t="s">
        <v>72</v>
      </c>
      <c r="R382" s="18" t="s">
        <v>1756</v>
      </c>
      <c r="S382" s="11" t="s">
        <v>1757</v>
      </c>
      <c r="T382" s="12"/>
      <c r="U382" s="10" t="str">
        <f>HYPERLINK("https://pbs.twimg.com/profile_images/596750922849595392/9eF244J3.jpg","View")</f>
        <v>View</v>
      </c>
    </row>
    <row r="383" spans="1:21" ht="40.799999999999997">
      <c r="A383" s="6">
        <v>43427.535497685181</v>
      </c>
      <c r="B383" s="7" t="str">
        <f>HYPERLINK("https://twitter.com/LYFtvNews","@LYFtvNews")</f>
        <v>@LYFtvNews</v>
      </c>
      <c r="C383" s="8" t="s">
        <v>1758</v>
      </c>
      <c r="D383" s="9" t="s">
        <v>1759</v>
      </c>
      <c r="E383" s="10" t="str">
        <f>HYPERLINK("https://twitter.com/LYFtvNews/status/1065935776519729152","1065935776519729152")</f>
        <v>1065935776519729152</v>
      </c>
      <c r="F383" s="17" t="s">
        <v>1760</v>
      </c>
      <c r="G383" s="12"/>
      <c r="H383" s="12"/>
      <c r="I383" s="13">
        <v>0</v>
      </c>
      <c r="J383" s="13">
        <v>1</v>
      </c>
      <c r="K383" s="14" t="str">
        <f>HYPERLINK("https://www.google.com/","Google")</f>
        <v>Google</v>
      </c>
      <c r="L383" s="13">
        <v>10072</v>
      </c>
      <c r="M383" s="13">
        <v>17</v>
      </c>
      <c r="N383" s="13">
        <v>381</v>
      </c>
      <c r="O383" s="15"/>
      <c r="P383" s="6">
        <v>39595.385405092595</v>
      </c>
      <c r="Q383" s="17" t="s">
        <v>1761</v>
      </c>
      <c r="R383" s="18" t="s">
        <v>1762</v>
      </c>
      <c r="S383" s="11" t="s">
        <v>1763</v>
      </c>
      <c r="T383" s="12"/>
      <c r="U383" s="10" t="str">
        <f>HYPERLINK("https://pbs.twimg.com/profile_images/986659444414181376/BwRhRGON.jpg","View")</f>
        <v>View</v>
      </c>
    </row>
    <row r="384" spans="1:21" ht="20.399999999999999">
      <c r="A384" s="6">
        <v>43427.535439814819</v>
      </c>
      <c r="B384" s="7" t="str">
        <f>HYPERLINK("https://twitter.com/EP_Mundo","@EP_Mundo")</f>
        <v>@EP_Mundo</v>
      </c>
      <c r="C384" s="8" t="s">
        <v>298</v>
      </c>
      <c r="D384" s="9" t="s">
        <v>299</v>
      </c>
      <c r="E384" s="10" t="str">
        <f>HYPERLINK("https://twitter.com/EP_Mundo/status/1065935752758992896","1065935752758992896")</f>
        <v>1065935752758992896</v>
      </c>
      <c r="F384" s="11" t="s">
        <v>99</v>
      </c>
      <c r="G384" s="11" t="s">
        <v>1764</v>
      </c>
      <c r="H384" s="12"/>
      <c r="I384" s="13">
        <v>0</v>
      </c>
      <c r="J384" s="13">
        <v>0</v>
      </c>
      <c r="K384" s="14" t="str">
        <f>HYPERLINK("http://epmundo.com","Tuiteo TOP EP (2)")</f>
        <v>Tuiteo TOP EP (2)</v>
      </c>
      <c r="L384" s="13">
        <v>510632</v>
      </c>
      <c r="M384" s="13">
        <v>302207</v>
      </c>
      <c r="N384" s="13">
        <v>1367</v>
      </c>
      <c r="O384" s="15"/>
      <c r="P384" s="6">
        <v>40203.223078703704</v>
      </c>
      <c r="Q384" s="12"/>
      <c r="R384" s="18" t="s">
        <v>303</v>
      </c>
      <c r="S384" s="11" t="s">
        <v>304</v>
      </c>
      <c r="T384" s="12"/>
      <c r="U384" s="10" t="str">
        <f>HYPERLINK("https://pbs.twimg.com/profile_images/958329583778099200/87-xiuzB.jpg","View")</f>
        <v>View</v>
      </c>
    </row>
    <row r="385" spans="1:21" ht="30.6">
      <c r="A385" s="6">
        <v>43427.535266203704</v>
      </c>
      <c r="B385" s="7" t="str">
        <f>HYPERLINK("https://twitter.com/lamentodeviuda","@lamentodeviuda")</f>
        <v>@lamentodeviuda</v>
      </c>
      <c r="C385" s="8" t="s">
        <v>1765</v>
      </c>
      <c r="D385" s="9" t="s">
        <v>1766</v>
      </c>
      <c r="E385" s="10" t="str">
        <f>HYPERLINK("https://twitter.com/lamentodeviuda/status/1065935691329216513","1065935691329216513")</f>
        <v>1065935691329216513</v>
      </c>
      <c r="F385" s="12"/>
      <c r="G385" s="12"/>
      <c r="H385" s="12"/>
      <c r="I385" s="13">
        <v>0</v>
      </c>
      <c r="J385" s="13">
        <v>0</v>
      </c>
      <c r="K385" s="14" t="str">
        <f t="shared" ref="K385:K386" si="67">HYPERLINK("http://twitter.com/download/android","Twitter for Android")</f>
        <v>Twitter for Android</v>
      </c>
      <c r="L385" s="13">
        <v>197</v>
      </c>
      <c r="M385" s="13">
        <v>10</v>
      </c>
      <c r="N385" s="13">
        <v>1</v>
      </c>
      <c r="O385" s="15"/>
      <c r="P385" s="6">
        <v>42940.834745370375</v>
      </c>
      <c r="Q385" s="17" t="s">
        <v>1767</v>
      </c>
      <c r="R385" s="18" t="s">
        <v>1768</v>
      </c>
      <c r="S385" s="12"/>
      <c r="T385" s="12"/>
      <c r="U385" s="10" t="str">
        <f>HYPERLINK("https://pbs.twimg.com/profile_images/1031496665851744257/THJ4x8gE.jpg","View")</f>
        <v>View</v>
      </c>
    </row>
    <row r="386" spans="1:21" ht="40.799999999999997">
      <c r="A386" s="6">
        <v>43427.534212962964</v>
      </c>
      <c r="B386" s="7" t="str">
        <f>HYPERLINK("https://twitter.com/danilozanomadri","@danilozanomadri")</f>
        <v>@danilozanomadri</v>
      </c>
      <c r="C386" s="8" t="s">
        <v>1769</v>
      </c>
      <c r="D386" s="9" t="s">
        <v>1770</v>
      </c>
      <c r="E386" s="10" t="str">
        <f>HYPERLINK("https://twitter.com/danilozanomadri/status/1065935307856592898","1065935307856592898")</f>
        <v>1065935307856592898</v>
      </c>
      <c r="F386" s="12"/>
      <c r="G386" s="12"/>
      <c r="H386" s="12"/>
      <c r="I386" s="13">
        <v>0</v>
      </c>
      <c r="J386" s="13">
        <v>0</v>
      </c>
      <c r="K386" s="14" t="str">
        <f t="shared" si="67"/>
        <v>Twitter for Android</v>
      </c>
      <c r="L386" s="13">
        <v>5476</v>
      </c>
      <c r="M386" s="13">
        <v>1848</v>
      </c>
      <c r="N386" s="13">
        <v>173</v>
      </c>
      <c r="O386" s="15"/>
      <c r="P386" s="6">
        <v>40257.752962962964</v>
      </c>
      <c r="Q386" s="17" t="s">
        <v>1771</v>
      </c>
      <c r="R386" s="18" t="s">
        <v>1772</v>
      </c>
      <c r="S386" s="11" t="s">
        <v>1773</v>
      </c>
      <c r="T386" s="12"/>
      <c r="U386" s="10" t="str">
        <f>HYPERLINK("https://pbs.twimg.com/profile_images/1044353640704745477/3HL8jstP.jpg","View")</f>
        <v>View</v>
      </c>
    </row>
    <row r="387" spans="1:21" ht="20.399999999999999">
      <c r="A387" s="6">
        <v>43427.534143518518</v>
      </c>
      <c r="B387" s="7" t="str">
        <f>HYPERLINK("https://twitter.com/bienar4030","@bienar4030")</f>
        <v>@bienar4030</v>
      </c>
      <c r="C387" s="8" t="s">
        <v>1774</v>
      </c>
      <c r="D387" s="9" t="s">
        <v>1775</v>
      </c>
      <c r="E387" s="10" t="str">
        <f>HYPERLINK("https://twitter.com/bienar4030/status/1065935285350031360","1065935285350031360")</f>
        <v>1065935285350031360</v>
      </c>
      <c r="F387" s="11" t="s">
        <v>1776</v>
      </c>
      <c r="G387" s="12"/>
      <c r="H387" s="12"/>
      <c r="I387" s="13">
        <v>0</v>
      </c>
      <c r="J387" s="13">
        <v>1</v>
      </c>
      <c r="K387" s="14" t="str">
        <f>HYPERLINK("http://twitter.com","Twitter Web Client")</f>
        <v>Twitter Web Client</v>
      </c>
      <c r="L387" s="13">
        <v>1481</v>
      </c>
      <c r="M387" s="13">
        <v>1475</v>
      </c>
      <c r="N387" s="13">
        <v>33</v>
      </c>
      <c r="O387" s="15"/>
      <c r="P387" s="6">
        <v>41554.843101851853</v>
      </c>
      <c r="Q387" s="12"/>
      <c r="R387" s="18" t="s">
        <v>1777</v>
      </c>
      <c r="S387" s="12"/>
      <c r="T387" s="12"/>
      <c r="U387" s="10" t="str">
        <f>HYPERLINK("https://pbs.twimg.com/profile_images/1057601277331492864/erv2nc24.jpg","View")</f>
        <v>View</v>
      </c>
    </row>
    <row r="388" spans="1:21" ht="20.399999999999999">
      <c r="A388" s="6">
        <v>43427.533865740741</v>
      </c>
      <c r="B388" s="7" t="str">
        <f>HYPERLINK("https://twitter.com/lolapastur","@lolapastur")</f>
        <v>@lolapastur</v>
      </c>
      <c r="C388" s="8" t="s">
        <v>1329</v>
      </c>
      <c r="D388" s="9" t="s">
        <v>1192</v>
      </c>
      <c r="E388" s="10" t="str">
        <f>HYPERLINK("https://twitter.com/lolapastur/status/1065935184565084161","1065935184565084161")</f>
        <v>1065935184565084161</v>
      </c>
      <c r="F388" s="11" t="s">
        <v>1778</v>
      </c>
      <c r="G388" s="12"/>
      <c r="H388" s="12"/>
      <c r="I388" s="13">
        <v>1</v>
      </c>
      <c r="J388" s="13">
        <v>0</v>
      </c>
      <c r="K388" s="14" t="str">
        <f>HYPERLINK("http://twitter.com/download/iphone","Twitter for iPhone")</f>
        <v>Twitter for iPhone</v>
      </c>
      <c r="L388" s="13">
        <v>3768</v>
      </c>
      <c r="M388" s="13">
        <v>2836</v>
      </c>
      <c r="N388" s="13">
        <v>32</v>
      </c>
      <c r="O388" s="15"/>
      <c r="P388" s="6">
        <v>40913.599293981482</v>
      </c>
      <c r="Q388" s="12"/>
      <c r="R388" s="18" t="s">
        <v>1332</v>
      </c>
      <c r="S388" s="12"/>
      <c r="T388" s="12"/>
      <c r="U388" s="10" t="str">
        <f>HYPERLINK("https://pbs.twimg.com/profile_images/934821295736451073/tnymHvNj.jpg","View")</f>
        <v>View</v>
      </c>
    </row>
    <row r="389" spans="1:21" ht="20.399999999999999">
      <c r="A389" s="6">
        <v>43427.533287037033</v>
      </c>
      <c r="B389" s="7" t="str">
        <f>HYPERLINK("https://twitter.com/ZapaterGil","@ZapaterGil")</f>
        <v>@ZapaterGil</v>
      </c>
      <c r="C389" s="8" t="s">
        <v>677</v>
      </c>
      <c r="D389" s="9" t="s">
        <v>1779</v>
      </c>
      <c r="E389" s="10" t="str">
        <f>HYPERLINK("https://twitter.com/ZapaterGil/status/1065934973797105664","1065934973797105664")</f>
        <v>1065934973797105664</v>
      </c>
      <c r="F389" s="12"/>
      <c r="G389" s="12"/>
      <c r="H389" s="12"/>
      <c r="I389" s="13">
        <v>0</v>
      </c>
      <c r="J389" s="13">
        <v>0</v>
      </c>
      <c r="K389" s="14" t="str">
        <f>HYPERLINK("http://twitter.com/download/android","Twitter for Android")</f>
        <v>Twitter for Android</v>
      </c>
      <c r="L389" s="13">
        <v>138</v>
      </c>
      <c r="M389" s="13">
        <v>109</v>
      </c>
      <c r="N389" s="13">
        <v>10</v>
      </c>
      <c r="O389" s="15"/>
      <c r="P389" s="6">
        <v>41461.501759259263</v>
      </c>
      <c r="Q389" s="12"/>
      <c r="R389" s="18" t="s">
        <v>679</v>
      </c>
      <c r="S389" s="12"/>
      <c r="T389" s="12"/>
      <c r="U389" s="10" t="str">
        <f>HYPERLINK("https://pbs.twimg.com/profile_images/913134619427573760/AIwbRg7G.jpg","View")</f>
        <v>View</v>
      </c>
    </row>
    <row r="390" spans="1:21" ht="51">
      <c r="A390" s="6">
        <v>43427.532546296294</v>
      </c>
      <c r="B390" s="7" t="str">
        <f>HYPERLINK("https://twitter.com/jehical","@jehical")</f>
        <v>@jehical</v>
      </c>
      <c r="C390" s="8" t="s">
        <v>1780</v>
      </c>
      <c r="D390" s="9" t="s">
        <v>1781</v>
      </c>
      <c r="E390" s="10" t="str">
        <f>HYPERLINK("https://twitter.com/jehical/status/1065934704942166017","1065934704942166017")</f>
        <v>1065934704942166017</v>
      </c>
      <c r="F390" s="11" t="s">
        <v>1782</v>
      </c>
      <c r="G390" s="12"/>
      <c r="H390" s="12"/>
      <c r="I390" s="13">
        <v>0</v>
      </c>
      <c r="J390" s="13">
        <v>0</v>
      </c>
      <c r="K390" s="14" t="str">
        <f>HYPERLINK("http://twitter.com","Twitter Web Client")</f>
        <v>Twitter Web Client</v>
      </c>
      <c r="L390" s="13">
        <v>576</v>
      </c>
      <c r="M390" s="13">
        <v>1396</v>
      </c>
      <c r="N390" s="13">
        <v>2</v>
      </c>
      <c r="O390" s="15"/>
      <c r="P390" s="6">
        <v>40705.613645833335</v>
      </c>
      <c r="Q390" s="17" t="s">
        <v>1783</v>
      </c>
      <c r="R390" s="18" t="s">
        <v>1784</v>
      </c>
      <c r="S390" s="12"/>
      <c r="T390" s="12"/>
      <c r="U390" s="10" t="str">
        <f>HYPERLINK("https://pbs.twimg.com/profile_images/978064800222720001/PBb17EdG.jpg","View")</f>
        <v>View</v>
      </c>
    </row>
    <row r="391" spans="1:21" ht="30.6">
      <c r="A391" s="6">
        <v>43427.532465277778</v>
      </c>
      <c r="B391" s="7" t="str">
        <f>HYPERLINK("https://twitter.com/Agroscam","@Agroscam")</f>
        <v>@Agroscam</v>
      </c>
      <c r="C391" s="8" t="s">
        <v>1785</v>
      </c>
      <c r="D391" s="9" t="s">
        <v>1786</v>
      </c>
      <c r="E391" s="10" t="str">
        <f>HYPERLINK("https://twitter.com/Agroscam/status/1065934677452693504","1065934677452693504")</f>
        <v>1065934677452693504</v>
      </c>
      <c r="F391" s="11" t="s">
        <v>1787</v>
      </c>
      <c r="G391" s="12"/>
      <c r="H391" s="12"/>
      <c r="I391" s="13">
        <v>0</v>
      </c>
      <c r="J391" s="13">
        <v>0</v>
      </c>
      <c r="K391" s="14" t="str">
        <f>HYPERLINK("http://twitter.com/#!/download/ipad","Twitter for iPad")</f>
        <v>Twitter for iPad</v>
      </c>
      <c r="L391" s="13">
        <v>382</v>
      </c>
      <c r="M391" s="13">
        <v>117</v>
      </c>
      <c r="N391" s="13">
        <v>9</v>
      </c>
      <c r="O391" s="15"/>
      <c r="P391" s="6">
        <v>40364.395138888889</v>
      </c>
      <c r="Q391" s="17" t="s">
        <v>1484</v>
      </c>
      <c r="R391" s="18" t="s">
        <v>1788</v>
      </c>
      <c r="S391" s="11" t="s">
        <v>1789</v>
      </c>
      <c r="T391" s="12"/>
      <c r="U391" s="10" t="str">
        <f>HYPERLINK("https://pbs.twimg.com/profile_images/602905848097148928/LI3ddM_b.jpg","View")</f>
        <v>View</v>
      </c>
    </row>
    <row r="392" spans="1:21" ht="40.799999999999997">
      <c r="A392" s="6">
        <v>43427.531481481477</v>
      </c>
      <c r="B392" s="7" t="str">
        <f>HYPERLINK("https://twitter.com/sonora969","@sonora969")</f>
        <v>@sonora969</v>
      </c>
      <c r="C392" s="8" t="s">
        <v>1790</v>
      </c>
      <c r="D392" s="9" t="s">
        <v>1791</v>
      </c>
      <c r="E392" s="10" t="str">
        <f>HYPERLINK("https://twitter.com/sonora969/status/1065934320752304131","1065934320752304131")</f>
        <v>1065934320752304131</v>
      </c>
      <c r="F392" s="12"/>
      <c r="G392" s="11" t="s">
        <v>1792</v>
      </c>
      <c r="H392" s="12"/>
      <c r="I392" s="13">
        <v>0</v>
      </c>
      <c r="J392" s="13">
        <v>0</v>
      </c>
      <c r="K392" s="14" t="str">
        <f>HYPERLINK("http://twitter.com","Twitter Web Client")</f>
        <v>Twitter Web Client</v>
      </c>
      <c r="L392" s="13">
        <v>832481</v>
      </c>
      <c r="M392" s="13">
        <v>53</v>
      </c>
      <c r="N392" s="13">
        <v>1617</v>
      </c>
      <c r="O392" s="15"/>
      <c r="P392" s="6">
        <v>40551.738310185188</v>
      </c>
      <c r="Q392" s="17" t="s">
        <v>1793</v>
      </c>
      <c r="R392" s="18" t="s">
        <v>1794</v>
      </c>
      <c r="S392" s="11" t="s">
        <v>1795</v>
      </c>
      <c r="T392" s="12"/>
      <c r="U392" s="10" t="str">
        <f>HYPERLINK("https://pbs.twimg.com/profile_images/1009130575607844864/71hx1n8W.jpg","View")</f>
        <v>View</v>
      </c>
    </row>
    <row r="393" spans="1:21" ht="61.2">
      <c r="A393" s="6">
        <v>43427.530844907407</v>
      </c>
      <c r="B393" s="7" t="str">
        <f>HYPERLINK("https://twitter.com/danilozanomadri","@danilozanomadri")</f>
        <v>@danilozanomadri</v>
      </c>
      <c r="C393" s="8" t="s">
        <v>1769</v>
      </c>
      <c r="D393" s="9" t="s">
        <v>1796</v>
      </c>
      <c r="E393" s="10" t="str">
        <f>HYPERLINK("https://twitter.com/danilozanomadri/status/1065934089012813824","1065934089012813824")</f>
        <v>1065934089012813824</v>
      </c>
      <c r="F393" s="11" t="s">
        <v>215</v>
      </c>
      <c r="G393" s="12"/>
      <c r="H393" s="12"/>
      <c r="I393" s="13">
        <v>0</v>
      </c>
      <c r="J393" s="13">
        <v>0</v>
      </c>
      <c r="K393" s="14" t="str">
        <f>HYPERLINK("http://twitter.com/download/android","Twitter for Android")</f>
        <v>Twitter for Android</v>
      </c>
      <c r="L393" s="13">
        <v>5476</v>
      </c>
      <c r="M393" s="13">
        <v>1848</v>
      </c>
      <c r="N393" s="13">
        <v>173</v>
      </c>
      <c r="O393" s="15"/>
      <c r="P393" s="6">
        <v>40257.752962962964</v>
      </c>
      <c r="Q393" s="17" t="s">
        <v>1771</v>
      </c>
      <c r="R393" s="18" t="s">
        <v>1772</v>
      </c>
      <c r="S393" s="11" t="s">
        <v>1773</v>
      </c>
      <c r="T393" s="12"/>
      <c r="U393" s="10" t="str">
        <f>HYPERLINK("https://pbs.twimg.com/profile_images/1044353640704745477/3HL8jstP.jpg","View")</f>
        <v>View</v>
      </c>
    </row>
    <row r="394" spans="1:21" ht="51">
      <c r="A394" s="6">
        <v>43427.530821759261</v>
      </c>
      <c r="B394" s="7" t="str">
        <f>HYPERLINK("https://twitter.com/madrid24horas","@madrid24horas")</f>
        <v>@madrid24horas</v>
      </c>
      <c r="C394" s="8" t="s">
        <v>1797</v>
      </c>
      <c r="D394" s="9" t="s">
        <v>1798</v>
      </c>
      <c r="E394" s="10" t="str">
        <f>HYPERLINK("https://twitter.com/madrid24horas/status/1065934081257611264","1065934081257611264")</f>
        <v>1065934081257611264</v>
      </c>
      <c r="F394" s="11" t="s">
        <v>1799</v>
      </c>
      <c r="G394" s="12"/>
      <c r="H394" s="12"/>
      <c r="I394" s="13">
        <v>0</v>
      </c>
      <c r="J394" s="13">
        <v>0</v>
      </c>
      <c r="K394" s="14" t="str">
        <f>HYPERLINK("https://ifttt.com","IFTTT")</f>
        <v>IFTTT</v>
      </c>
      <c r="L394" s="13">
        <v>1839</v>
      </c>
      <c r="M394" s="13">
        <v>1799</v>
      </c>
      <c r="N394" s="13">
        <v>37</v>
      </c>
      <c r="O394" s="15"/>
      <c r="P394" s="6">
        <v>41166.720775462964</v>
      </c>
      <c r="Q394" s="17" t="s">
        <v>141</v>
      </c>
      <c r="R394" s="18" t="s">
        <v>1800</v>
      </c>
      <c r="S394" s="11" t="s">
        <v>1801</v>
      </c>
      <c r="T394" s="12"/>
      <c r="U394" s="10" t="str">
        <f>HYPERLINK("https://pbs.twimg.com/profile_images/806297627029635072/W4TvPSPY.jpg","View")</f>
        <v>View</v>
      </c>
    </row>
    <row r="395" spans="1:21" ht="40.799999999999997">
      <c r="A395" s="6">
        <v>43427.530543981484</v>
      </c>
      <c r="B395" s="7" t="str">
        <f>HYPERLINK("https://twitter.com/JLP11959","@JLP11959")</f>
        <v>@JLP11959</v>
      </c>
      <c r="C395" s="8" t="s">
        <v>1802</v>
      </c>
      <c r="D395" s="9" t="s">
        <v>1803</v>
      </c>
      <c r="E395" s="10" t="str">
        <f>HYPERLINK("https://twitter.com/JLP11959/status/1065933977708576768","1065933977708576768")</f>
        <v>1065933977708576768</v>
      </c>
      <c r="F395" s="11" t="s">
        <v>1804</v>
      </c>
      <c r="G395" s="12"/>
      <c r="H395" s="12"/>
      <c r="I395" s="13">
        <v>0</v>
      </c>
      <c r="J395" s="13">
        <v>0</v>
      </c>
      <c r="K395" s="14" t="str">
        <f>HYPERLINK("http://twitter.com/download/android","Twitter for Android")</f>
        <v>Twitter for Android</v>
      </c>
      <c r="L395" s="13">
        <v>5648</v>
      </c>
      <c r="M395" s="13">
        <v>4317</v>
      </c>
      <c r="N395" s="13">
        <v>19</v>
      </c>
      <c r="O395" s="15"/>
      <c r="P395" s="6">
        <v>42259.751666666663</v>
      </c>
      <c r="Q395" s="17" t="s">
        <v>1805</v>
      </c>
      <c r="R395" s="18" t="s">
        <v>1806</v>
      </c>
      <c r="S395" s="12"/>
      <c r="T395" s="12"/>
      <c r="U395" s="10" t="str">
        <f>HYPERLINK("https://pbs.twimg.com/profile_images/716610355330473984/VlwAwNbi.jpg","View")</f>
        <v>View</v>
      </c>
    </row>
    <row r="396" spans="1:21" ht="51">
      <c r="A396" s="6">
        <v>43427.530011574076</v>
      </c>
      <c r="B396" s="7" t="str">
        <f>HYPERLINK("https://twitter.com/Arena18858359","@Arena18858359")</f>
        <v>@Arena18858359</v>
      </c>
      <c r="C396" s="8" t="s">
        <v>1807</v>
      </c>
      <c r="D396" s="9" t="s">
        <v>1808</v>
      </c>
      <c r="E396" s="10" t="str">
        <f>HYPERLINK("https://twitter.com/Arena18858359/status/1065933786712555520","1065933786712555520")</f>
        <v>1065933786712555520</v>
      </c>
      <c r="F396" s="11" t="s">
        <v>1809</v>
      </c>
      <c r="G396" s="12"/>
      <c r="H396" s="12"/>
      <c r="I396" s="13">
        <v>0</v>
      </c>
      <c r="J396" s="13">
        <v>0</v>
      </c>
      <c r="K396" s="14" t="str">
        <f t="shared" ref="K396:K397" si="68">HYPERLINK("http://twitter.com","Twitter Web Client")</f>
        <v>Twitter Web Client</v>
      </c>
      <c r="L396" s="13">
        <v>646</v>
      </c>
      <c r="M396" s="13">
        <v>1268</v>
      </c>
      <c r="N396" s="13">
        <v>1</v>
      </c>
      <c r="O396" s="15"/>
      <c r="P396" s="6">
        <v>43350.452592592592</v>
      </c>
      <c r="Q396" s="17" t="s">
        <v>28</v>
      </c>
      <c r="R396" s="18" t="s">
        <v>1810</v>
      </c>
      <c r="S396" s="12"/>
      <c r="T396" s="12"/>
      <c r="U396" s="10" t="str">
        <f>HYPERLINK("https://pbs.twimg.com/profile_images/1039634742386274304/Qn8VC5bf.jpg","View")</f>
        <v>View</v>
      </c>
    </row>
    <row r="397" spans="1:21" ht="20.399999999999999">
      <c r="A397" s="6">
        <v>43427.529768518521</v>
      </c>
      <c r="B397" s="7" t="str">
        <f>HYPERLINK("https://twitter.com/pseguraver","@pseguraver")</f>
        <v>@pseguraver</v>
      </c>
      <c r="C397" s="8" t="s">
        <v>1811</v>
      </c>
      <c r="D397" s="9" t="s">
        <v>1812</v>
      </c>
      <c r="E397" s="10" t="str">
        <f>HYPERLINK("https://twitter.com/pseguraver/status/1065933700716732417","1065933700716732417")</f>
        <v>1065933700716732417</v>
      </c>
      <c r="F397" s="11" t="s">
        <v>119</v>
      </c>
      <c r="G397" s="12"/>
      <c r="H397" s="12"/>
      <c r="I397" s="13">
        <v>0</v>
      </c>
      <c r="J397" s="13">
        <v>0</v>
      </c>
      <c r="K397" s="14" t="str">
        <f t="shared" si="68"/>
        <v>Twitter Web Client</v>
      </c>
      <c r="L397" s="13">
        <v>24</v>
      </c>
      <c r="M397" s="13">
        <v>114</v>
      </c>
      <c r="N397" s="13">
        <v>0</v>
      </c>
      <c r="O397" s="15"/>
      <c r="P397" s="6">
        <v>42451.894953703704</v>
      </c>
      <c r="Q397" s="17" t="s">
        <v>1483</v>
      </c>
      <c r="R397" s="18" t="s">
        <v>1813</v>
      </c>
      <c r="S397" s="12"/>
      <c r="T397" s="12"/>
      <c r="U397" s="10" t="str">
        <f>HYPERLINK("https://pbs.twimg.com/profile_images/1035084215602372608/tlzZT-bY.jpg","View")</f>
        <v>View</v>
      </c>
    </row>
    <row r="398" spans="1:21" ht="40.799999999999997">
      <c r="A398" s="6">
        <v>43427.527835648143</v>
      </c>
      <c r="B398" s="7" t="str">
        <f>HYPERLINK("https://twitter.com/Cambio16","@Cambio16")</f>
        <v>@Cambio16</v>
      </c>
      <c r="C398" s="8" t="s">
        <v>22</v>
      </c>
      <c r="D398" s="9" t="s">
        <v>1814</v>
      </c>
      <c r="E398" s="10" t="str">
        <f>HYPERLINK("https://twitter.com/Cambio16/status/1065932998942572544","1065932998942572544")</f>
        <v>1065932998942572544</v>
      </c>
      <c r="F398" s="11" t="s">
        <v>24</v>
      </c>
      <c r="G398" s="11" t="s">
        <v>1815</v>
      </c>
      <c r="H398" s="12"/>
      <c r="I398" s="13">
        <v>0</v>
      </c>
      <c r="J398" s="13">
        <v>0</v>
      </c>
      <c r="K398" s="14" t="str">
        <f>HYPERLINK("https://www.hootsuite.com","Hootsuite Inc.")</f>
        <v>Hootsuite Inc.</v>
      </c>
      <c r="L398" s="13">
        <v>17345</v>
      </c>
      <c r="M398" s="13">
        <v>765</v>
      </c>
      <c r="N398" s="13">
        <v>499</v>
      </c>
      <c r="O398" s="15"/>
      <c r="P398" s="6">
        <v>40341.492245370369</v>
      </c>
      <c r="Q398" s="17" t="s">
        <v>27</v>
      </c>
      <c r="R398" s="18" t="s">
        <v>30</v>
      </c>
      <c r="S398" s="11" t="s">
        <v>31</v>
      </c>
      <c r="T398" s="12"/>
      <c r="U398" s="10" t="str">
        <f>HYPERLINK("https://pbs.twimg.com/profile_images/1060221846208069632/vJfJ3_T5.jpg","View")</f>
        <v>View</v>
      </c>
    </row>
    <row r="399" spans="1:21" ht="20.399999999999999">
      <c r="A399" s="6">
        <v>43427.527453703704</v>
      </c>
      <c r="B399" s="7" t="str">
        <f>HYPERLINK("https://twitter.com/MonikaDiethelm","@MonikaDiethelm")</f>
        <v>@MonikaDiethelm</v>
      </c>
      <c r="C399" s="8" t="s">
        <v>1816</v>
      </c>
      <c r="D399" s="9" t="s">
        <v>1817</v>
      </c>
      <c r="E399" s="10" t="str">
        <f>HYPERLINK("https://twitter.com/MonikaDiethelm/status/1065932859620364288","1065932859620364288")</f>
        <v>1065932859620364288</v>
      </c>
      <c r="F399" s="11" t="s">
        <v>1818</v>
      </c>
      <c r="G399" s="12"/>
      <c r="H399" s="12"/>
      <c r="I399" s="13">
        <v>0</v>
      </c>
      <c r="J399" s="13">
        <v>0</v>
      </c>
      <c r="K399" s="14" t="str">
        <f>HYPERLINK("http://twitter.com/download/iphone","Twitter for iPhone")</f>
        <v>Twitter for iPhone</v>
      </c>
      <c r="L399" s="13">
        <v>1170</v>
      </c>
      <c r="M399" s="13">
        <v>283</v>
      </c>
      <c r="N399" s="13">
        <v>9</v>
      </c>
      <c r="O399" s="15"/>
      <c r="P399" s="6">
        <v>41515.881226851852</v>
      </c>
      <c r="Q399" s="12"/>
      <c r="R399" s="19"/>
      <c r="S399" s="12"/>
      <c r="T399" s="12"/>
      <c r="U399" s="10" t="str">
        <f>HYPERLINK("https://pbs.twimg.com/profile_images/964640633142079488/7w_Sopvn.jpg","View")</f>
        <v>View</v>
      </c>
    </row>
    <row r="400" spans="1:21" ht="30.6">
      <c r="A400" s="6">
        <v>43427.527361111112</v>
      </c>
      <c r="B400" s="7" t="str">
        <f>HYPERLINK("https://twitter.com/carlespastor","@carlespastor")</f>
        <v>@carlespastor</v>
      </c>
      <c r="C400" s="8" t="s">
        <v>1098</v>
      </c>
      <c r="D400" s="9" t="s">
        <v>1819</v>
      </c>
      <c r="E400" s="10" t="str">
        <f>HYPERLINK("https://twitter.com/carlespastor/status/1065932828188250113","1065932828188250113")</f>
        <v>1065932828188250113</v>
      </c>
      <c r="F400" s="11" t="s">
        <v>1820</v>
      </c>
      <c r="G400" s="12"/>
      <c r="H400" s="12"/>
      <c r="I400" s="13">
        <v>0</v>
      </c>
      <c r="J400" s="13">
        <v>0</v>
      </c>
      <c r="K400" s="14" t="str">
        <f>HYPERLINK("http://twitter.com/#!/download/ipad","Twitter for iPad")</f>
        <v>Twitter for iPad</v>
      </c>
      <c r="L400" s="13">
        <v>8035</v>
      </c>
      <c r="M400" s="13">
        <v>7618</v>
      </c>
      <c r="N400" s="13">
        <v>82</v>
      </c>
      <c r="O400" s="15"/>
      <c r="P400" s="6">
        <v>40078.539143518516</v>
      </c>
      <c r="Q400" s="17" t="s">
        <v>1101</v>
      </c>
      <c r="R400" s="18" t="s">
        <v>1102</v>
      </c>
      <c r="S400" s="11" t="s">
        <v>1103</v>
      </c>
      <c r="T400" s="12"/>
      <c r="U400" s="10" t="str">
        <f>HYPERLINK("https://pbs.twimg.com/profile_images/974682861063360512/BxPAgqMX.jpg","View")</f>
        <v>View</v>
      </c>
    </row>
    <row r="401" spans="1:21" ht="40.799999999999997">
      <c r="A401" s="6">
        <v>43427.526828703703</v>
      </c>
      <c r="B401" s="7" t="str">
        <f>HYPERLINK("https://twitter.com/PiopioBaroja","@PiopioBaroja")</f>
        <v>@PiopioBaroja</v>
      </c>
      <c r="C401" s="8" t="s">
        <v>1821</v>
      </c>
      <c r="D401" s="9" t="s">
        <v>1822</v>
      </c>
      <c r="E401" s="10" t="str">
        <f>HYPERLINK("https://twitter.com/PiopioBaroja/status/1065932634667274241","1065932634667274241")</f>
        <v>1065932634667274241</v>
      </c>
      <c r="F401" s="12"/>
      <c r="G401" s="12"/>
      <c r="H401" s="12"/>
      <c r="I401" s="13">
        <v>2</v>
      </c>
      <c r="J401" s="13">
        <v>1</v>
      </c>
      <c r="K401" s="14" t="str">
        <f>HYPERLINK("http://twitter.com/download/android","Twitter for Android")</f>
        <v>Twitter for Android</v>
      </c>
      <c r="L401" s="13">
        <v>1298</v>
      </c>
      <c r="M401" s="13">
        <v>578</v>
      </c>
      <c r="N401" s="13">
        <v>24</v>
      </c>
      <c r="O401" s="15"/>
      <c r="P401" s="6">
        <v>42065.957106481481</v>
      </c>
      <c r="Q401" s="17" t="s">
        <v>1823</v>
      </c>
      <c r="R401" s="18" t="s">
        <v>1824</v>
      </c>
      <c r="S401" s="12"/>
      <c r="T401" s="12"/>
      <c r="U401" s="10" t="str">
        <f>HYPERLINK("https://pbs.twimg.com/profile_images/883044593037709314/-rOlAzP3.jpg","View")</f>
        <v>View</v>
      </c>
    </row>
    <row r="402" spans="1:21" ht="20.399999999999999">
      <c r="A402" s="6">
        <v>43427.526724537034</v>
      </c>
      <c r="B402" s="7" t="str">
        <f>HYPERLINK("https://twitter.com/Sumate","@Sumate")</f>
        <v>@Sumate</v>
      </c>
      <c r="C402" s="8" t="s">
        <v>1670</v>
      </c>
      <c r="D402" s="9" t="s">
        <v>1825</v>
      </c>
      <c r="E402" s="10" t="str">
        <f>HYPERLINK("https://twitter.com/Sumate/status/1065932594410373121","1065932594410373121")</f>
        <v>1065932594410373121</v>
      </c>
      <c r="F402" s="11" t="s">
        <v>1533</v>
      </c>
      <c r="G402" s="12"/>
      <c r="H402" s="12"/>
      <c r="I402" s="13">
        <v>1</v>
      </c>
      <c r="J402" s="13">
        <v>0</v>
      </c>
      <c r="K402" s="14" t="str">
        <f t="shared" ref="K402:K403" si="69">HYPERLINK("http://twitter.com","Twitter Web Client")</f>
        <v>Twitter Web Client</v>
      </c>
      <c r="L402" s="13">
        <v>84456</v>
      </c>
      <c r="M402" s="13">
        <v>12697</v>
      </c>
      <c r="N402" s="13">
        <v>933</v>
      </c>
      <c r="O402" s="15"/>
      <c r="P402" s="6">
        <v>39958.878518518519</v>
      </c>
      <c r="Q402" s="17" t="s">
        <v>104</v>
      </c>
      <c r="R402" s="18" t="s">
        <v>1673</v>
      </c>
      <c r="S402" s="11" t="s">
        <v>1674</v>
      </c>
      <c r="T402" s="12"/>
      <c r="U402" s="10" t="str">
        <f>HYPERLINK("https://pbs.twimg.com/profile_images/565059247/logo-sumate.jpg","View")</f>
        <v>View</v>
      </c>
    </row>
    <row r="403" spans="1:21" ht="30.6">
      <c r="A403" s="6">
        <v>43427.526006944448</v>
      </c>
      <c r="B403" s="7" t="str">
        <f>HYPERLINK("https://twitter.com/luisexpositoa","@luisexpositoa")</f>
        <v>@luisexpositoa</v>
      </c>
      <c r="C403" s="8" t="s">
        <v>1826</v>
      </c>
      <c r="D403" s="9" t="s">
        <v>1827</v>
      </c>
      <c r="E403" s="10" t="str">
        <f>HYPERLINK("https://twitter.com/luisexpositoa/status/1065932336657825793","1065932336657825793")</f>
        <v>1065932336657825793</v>
      </c>
      <c r="F403" s="12"/>
      <c r="G403" s="12"/>
      <c r="H403" s="12"/>
      <c r="I403" s="13">
        <v>0</v>
      </c>
      <c r="J403" s="13">
        <v>0</v>
      </c>
      <c r="K403" s="14" t="str">
        <f t="shared" si="69"/>
        <v>Twitter Web Client</v>
      </c>
      <c r="L403" s="13">
        <v>1133</v>
      </c>
      <c r="M403" s="13">
        <v>470</v>
      </c>
      <c r="N403" s="13">
        <v>33</v>
      </c>
      <c r="O403" s="15"/>
      <c r="P403" s="6">
        <v>40583.917847222227</v>
      </c>
      <c r="Q403" s="12"/>
      <c r="R403" s="18" t="s">
        <v>1828</v>
      </c>
      <c r="S403" s="12"/>
      <c r="T403" s="12"/>
      <c r="U403" s="10" t="str">
        <f>HYPERLINK("https://pbs.twimg.com/profile_images/1050057911660101633/Mg9nVG3v.jpg","View")</f>
        <v>View</v>
      </c>
    </row>
    <row r="404" spans="1:21" ht="20.399999999999999">
      <c r="A404" s="6">
        <v>43427.525497685187</v>
      </c>
      <c r="B404" s="7" t="str">
        <f>HYPERLINK("https://twitter.com/Marc45055416","@Marc45055416")</f>
        <v>@Marc45055416</v>
      </c>
      <c r="C404" s="8" t="s">
        <v>1829</v>
      </c>
      <c r="D404" s="9" t="s">
        <v>1830</v>
      </c>
      <c r="E404" s="10" t="str">
        <f>HYPERLINK("https://twitter.com/Marc45055416/status/1065932151189725184","1065932151189725184")</f>
        <v>1065932151189725184</v>
      </c>
      <c r="F404" s="11" t="s">
        <v>1831</v>
      </c>
      <c r="G404" s="12"/>
      <c r="H404" s="12"/>
      <c r="I404" s="13">
        <v>0</v>
      </c>
      <c r="J404" s="13">
        <v>0</v>
      </c>
      <c r="K404" s="14" t="str">
        <f>HYPERLINK("https://www.google.com/","Google")</f>
        <v>Google</v>
      </c>
      <c r="L404" s="13">
        <v>16</v>
      </c>
      <c r="M404" s="13">
        <v>67</v>
      </c>
      <c r="N404" s="13">
        <v>5</v>
      </c>
      <c r="O404" s="15"/>
      <c r="P404" s="6">
        <v>41210.682268518518</v>
      </c>
      <c r="Q404" s="17" t="s">
        <v>191</v>
      </c>
      <c r="R404" s="18" t="s">
        <v>1832</v>
      </c>
      <c r="S404" s="11" t="s">
        <v>1833</v>
      </c>
      <c r="T404" s="12"/>
      <c r="U404" s="10" t="str">
        <f>HYPERLINK("https://pbs.twimg.com/profile_images/2989960899/bd08960ceb12d5336e4615640c692a57.jpeg","View")</f>
        <v>View</v>
      </c>
    </row>
    <row r="405" spans="1:21" ht="51">
      <c r="A405" s="6">
        <v>43427.524699074071</v>
      </c>
      <c r="B405" s="7" t="str">
        <f>HYPERLINK("https://twitter.com/julianignacio33","@julianignacio33")</f>
        <v>@julianignacio33</v>
      </c>
      <c r="C405" s="8" t="s">
        <v>1834</v>
      </c>
      <c r="D405" s="9" t="s">
        <v>1835</v>
      </c>
      <c r="E405" s="10" t="str">
        <f>HYPERLINK("https://twitter.com/julianignacio33/status/1065931863544528907","1065931863544528907")</f>
        <v>1065931863544528907</v>
      </c>
      <c r="F405" s="12"/>
      <c r="G405" s="12"/>
      <c r="H405" s="12"/>
      <c r="I405" s="13">
        <v>0</v>
      </c>
      <c r="J405" s="13">
        <v>0</v>
      </c>
      <c r="K405" s="14" t="str">
        <f>HYPERLINK("http://twitter.com","Twitter Web Client")</f>
        <v>Twitter Web Client</v>
      </c>
      <c r="L405" s="13">
        <v>61</v>
      </c>
      <c r="M405" s="13">
        <v>699</v>
      </c>
      <c r="N405" s="13">
        <v>0</v>
      </c>
      <c r="O405" s="15"/>
      <c r="P405" s="6">
        <v>42856.850844907407</v>
      </c>
      <c r="Q405" s="12"/>
      <c r="R405" s="19"/>
      <c r="S405" s="12"/>
      <c r="T405" s="12"/>
      <c r="U405" s="10" t="str">
        <f>HYPERLINK("https://pbs.twimg.com/profile_images/1018202218548297728/EdhmuOKT.jpg","View")</f>
        <v>View</v>
      </c>
    </row>
    <row r="406" spans="1:21" ht="13.2">
      <c r="A406" s="6">
        <v>43427.523356481484</v>
      </c>
      <c r="B406" s="7" t="str">
        <f>HYPERLINK("https://twitter.com/ConsuCubaMadrid","@ConsuCubaMadrid")</f>
        <v>@ConsuCubaMadrid</v>
      </c>
      <c r="C406" s="8" t="s">
        <v>1836</v>
      </c>
      <c r="D406" s="9" t="s">
        <v>1837</v>
      </c>
      <c r="E406" s="10" t="str">
        <f>HYPERLINK("https://twitter.com/ConsuCubaMadrid/status/1065931373813346304","1065931373813346304")</f>
        <v>1065931373813346304</v>
      </c>
      <c r="F406" s="11" t="s">
        <v>1838</v>
      </c>
      <c r="G406" s="12"/>
      <c r="H406" s="12"/>
      <c r="I406" s="13">
        <v>0</v>
      </c>
      <c r="J406" s="13">
        <v>0</v>
      </c>
      <c r="K406" s="14" t="str">
        <f t="shared" ref="K406:K407" si="70">HYPERLINK("http://www.facebook.com/twitter","Facebook")</f>
        <v>Facebook</v>
      </c>
      <c r="L406" s="13">
        <v>1967</v>
      </c>
      <c r="M406" s="13">
        <v>890</v>
      </c>
      <c r="N406" s="13">
        <v>38</v>
      </c>
      <c r="O406" s="15"/>
      <c r="P406" s="6">
        <v>41925.509317129632</v>
      </c>
      <c r="Q406" s="17" t="s">
        <v>1839</v>
      </c>
      <c r="R406" s="19"/>
      <c r="S406" s="12"/>
      <c r="T406" s="12"/>
      <c r="U406" s="10" t="str">
        <f>HYPERLINK("https://pbs.twimg.com/profile_images/811991022259630080/xTkTaC5_.jpg","View")</f>
        <v>View</v>
      </c>
    </row>
    <row r="407" spans="1:21" ht="20.399999999999999">
      <c r="A407" s="6">
        <v>43427.520960648151</v>
      </c>
      <c r="B407" s="7" t="str">
        <f>HYPERLINK("https://twitter.com/cuin1425","@cuin1425")</f>
        <v>@cuin1425</v>
      </c>
      <c r="C407" s="8" t="s">
        <v>1840</v>
      </c>
      <c r="D407" s="9" t="s">
        <v>53</v>
      </c>
      <c r="E407" s="10" t="str">
        <f>HYPERLINK("https://twitter.com/cuin1425/status/1065930508792668163","1065930508792668163")</f>
        <v>1065930508792668163</v>
      </c>
      <c r="F407" s="11" t="s">
        <v>1841</v>
      </c>
      <c r="G407" s="12"/>
      <c r="H407" s="12"/>
      <c r="I407" s="13">
        <v>0</v>
      </c>
      <c r="J407" s="13">
        <v>0</v>
      </c>
      <c r="K407" s="14" t="str">
        <f t="shared" si="70"/>
        <v>Facebook</v>
      </c>
      <c r="L407" s="13">
        <v>579</v>
      </c>
      <c r="M407" s="13">
        <v>977</v>
      </c>
      <c r="N407" s="13">
        <v>13</v>
      </c>
      <c r="O407" s="15"/>
      <c r="P407" s="6">
        <v>40274.437928240739</v>
      </c>
      <c r="Q407" s="17" t="s">
        <v>1842</v>
      </c>
      <c r="R407" s="18" t="s">
        <v>1843</v>
      </c>
      <c r="S407" s="12"/>
      <c r="T407" s="12"/>
      <c r="U407" s="10" t="str">
        <f>HYPERLINK("https://pbs.twimg.com/profile_images/820055555305832448/qbgSwEuX.jpg","View")</f>
        <v>View</v>
      </c>
    </row>
    <row r="408" spans="1:21" ht="51">
      <c r="A408" s="6">
        <v>43427.520902777775</v>
      </c>
      <c r="B408" s="7" t="str">
        <f>HYPERLINK("https://twitter.com/elpais_espana","@elpais_espana")</f>
        <v>@elpais_espana</v>
      </c>
      <c r="C408" s="8" t="s">
        <v>1844</v>
      </c>
      <c r="D408" s="9" t="s">
        <v>1845</v>
      </c>
      <c r="E408" s="10" t="str">
        <f>HYPERLINK("https://twitter.com/elpais_espana/status/1065930485451431936","1065930485451431936")</f>
        <v>1065930485451431936</v>
      </c>
      <c r="F408" s="11" t="s">
        <v>1846</v>
      </c>
      <c r="G408" s="12"/>
      <c r="H408" s="12"/>
      <c r="I408" s="13">
        <v>3</v>
      </c>
      <c r="J408" s="13">
        <v>1</v>
      </c>
      <c r="K408" s="14" t="str">
        <f>HYPERLINK("https://www.hootsuite.com","Hootsuite Inc.")</f>
        <v>Hootsuite Inc.</v>
      </c>
      <c r="L408" s="13">
        <v>402654</v>
      </c>
      <c r="M408" s="13">
        <v>799</v>
      </c>
      <c r="N408" s="13">
        <v>6324</v>
      </c>
      <c r="O408" s="16" t="s">
        <v>26</v>
      </c>
      <c r="P408" s="6">
        <v>40245.788946759261</v>
      </c>
      <c r="Q408" s="17" t="s">
        <v>72</v>
      </c>
      <c r="R408" s="18" t="s">
        <v>1847</v>
      </c>
      <c r="S408" s="11" t="s">
        <v>1848</v>
      </c>
      <c r="T408" s="12"/>
      <c r="U408" s="10" t="str">
        <f>HYPERLINK("https://pbs.twimg.com/profile_images/917337394914955264/aoU6Bl-8.jpg","View")</f>
        <v>View</v>
      </c>
    </row>
    <row r="409" spans="1:21" ht="51">
      <c r="A409" s="6">
        <v>43427.519571759258</v>
      </c>
      <c r="B409" s="7" t="str">
        <f>HYPERLINK("https://twitter.com/DiazCanelB","@DiazCanelB")</f>
        <v>@DiazCanelB</v>
      </c>
      <c r="C409" s="8" t="s">
        <v>1849</v>
      </c>
      <c r="D409" s="9" t="s">
        <v>1850</v>
      </c>
      <c r="E409" s="10" t="str">
        <f>HYPERLINK("https://twitter.com/DiazCanelB/status/1065930002380845056","1065930002380845056")</f>
        <v>1065930002380845056</v>
      </c>
      <c r="F409" s="12"/>
      <c r="G409" s="12"/>
      <c r="H409" s="12"/>
      <c r="I409" s="13">
        <v>248</v>
      </c>
      <c r="J409" s="13">
        <v>384</v>
      </c>
      <c r="K409" s="14" t="str">
        <f>HYPERLINK("http://twitter.com/download/android","Twitter for Android")</f>
        <v>Twitter for Android</v>
      </c>
      <c r="L409" s="13">
        <v>47116</v>
      </c>
      <c r="M409" s="13">
        <v>63</v>
      </c>
      <c r="N409" s="13">
        <v>152</v>
      </c>
      <c r="O409" s="16" t="s">
        <v>26</v>
      </c>
      <c r="P409" s="6">
        <v>43314.718495370369</v>
      </c>
      <c r="Q409" s="17" t="s">
        <v>40</v>
      </c>
      <c r="R409" s="18" t="s">
        <v>1851</v>
      </c>
      <c r="S409" s="12"/>
      <c r="T409" s="12"/>
      <c r="U409" s="10" t="str">
        <f>HYPERLINK("https://pbs.twimg.com/profile_images/1051820710279008256/huAOZBTJ.jpg","View")</f>
        <v>View</v>
      </c>
    </row>
    <row r="410" spans="1:21" ht="40.799999999999997">
      <c r="A410" s="6">
        <v>43427.51934027778</v>
      </c>
      <c r="B410" s="7" t="str">
        <f>HYPERLINK("https://twitter.com/comentaconjose","@comentaconjose")</f>
        <v>@comentaconjose</v>
      </c>
      <c r="C410" s="8" t="s">
        <v>1852</v>
      </c>
      <c r="D410" s="9" t="s">
        <v>1214</v>
      </c>
      <c r="E410" s="10" t="str">
        <f>HYPERLINK("https://twitter.com/comentaconjose/status/1065929917769162754","1065929917769162754")</f>
        <v>1065929917769162754</v>
      </c>
      <c r="F410" s="11" t="s">
        <v>310</v>
      </c>
      <c r="G410" s="12"/>
      <c r="H410" s="12"/>
      <c r="I410" s="13">
        <v>0</v>
      </c>
      <c r="J410" s="13">
        <v>0</v>
      </c>
      <c r="K410" s="14" t="str">
        <f>HYPERLINK("http://twitter.com","Twitter Web Client")</f>
        <v>Twitter Web Client</v>
      </c>
      <c r="L410" s="13">
        <v>309937</v>
      </c>
      <c r="M410" s="13">
        <v>170186</v>
      </c>
      <c r="N410" s="13">
        <v>662</v>
      </c>
      <c r="O410" s="15"/>
      <c r="P410" s="6">
        <v>41028.801041666666</v>
      </c>
      <c r="Q410" s="17" t="s">
        <v>1853</v>
      </c>
      <c r="R410" s="18" t="s">
        <v>1854</v>
      </c>
      <c r="S410" s="11" t="s">
        <v>1855</v>
      </c>
      <c r="T410" s="12"/>
      <c r="U410" s="10" t="str">
        <f>HYPERLINK("https://pbs.twimg.com/profile_images/936301220297363456/z0cOp2hD.jpg","View")</f>
        <v>View</v>
      </c>
    </row>
    <row r="411" spans="1:21" ht="20.399999999999999">
      <c r="A411" s="6">
        <v>43427.518819444449</v>
      </c>
      <c r="B411" s="7" t="str">
        <f>HYPERLINK("https://twitter.com/carlosjc4118","@carlosjc4118")</f>
        <v>@carlosjc4118</v>
      </c>
      <c r="C411" s="8" t="s">
        <v>1856</v>
      </c>
      <c r="D411" s="9" t="s">
        <v>1857</v>
      </c>
      <c r="E411" s="10" t="str">
        <f>HYPERLINK("https://twitter.com/carlosjc4118/status/1065929730057281536","1065929730057281536")</f>
        <v>1065929730057281536</v>
      </c>
      <c r="F411" s="12"/>
      <c r="G411" s="12"/>
      <c r="H411" s="12"/>
      <c r="I411" s="13">
        <v>0</v>
      </c>
      <c r="J411" s="13">
        <v>0</v>
      </c>
      <c r="K411" s="14" t="str">
        <f>HYPERLINK("http://twitter.com/download/android","Twitter for Android")</f>
        <v>Twitter for Android</v>
      </c>
      <c r="L411" s="13">
        <v>36</v>
      </c>
      <c r="M411" s="13">
        <v>104</v>
      </c>
      <c r="N411" s="13">
        <v>0</v>
      </c>
      <c r="O411" s="15"/>
      <c r="P411" s="6">
        <v>42038.883206018523</v>
      </c>
      <c r="Q411" s="17" t="s">
        <v>72</v>
      </c>
      <c r="R411" s="18" t="s">
        <v>1858</v>
      </c>
      <c r="S411" s="12"/>
      <c r="T411" s="12"/>
      <c r="U411" s="10" t="str">
        <f>HYPERLINK("https://pbs.twimg.com/profile_images/886699727974273024/NPpxcMmm.jpg","View")</f>
        <v>View</v>
      </c>
    </row>
    <row r="412" spans="1:21" ht="30.6">
      <c r="A412" s="6">
        <v>43427.518587962964</v>
      </c>
      <c r="B412" s="7" t="str">
        <f>HYPERLINK("https://twitter.com/PueblodeXoco","@PueblodeXoco")</f>
        <v>@PueblodeXoco</v>
      </c>
      <c r="C412" s="8" t="s">
        <v>1859</v>
      </c>
      <c r="D412" s="9" t="s">
        <v>1860</v>
      </c>
      <c r="E412" s="10" t="str">
        <f>HYPERLINK("https://twitter.com/PueblodeXoco/status/1065929648725479424","1065929648725479424")</f>
        <v>1065929648725479424</v>
      </c>
      <c r="F412" s="11" t="s">
        <v>751</v>
      </c>
      <c r="G412" s="12"/>
      <c r="H412" s="12"/>
      <c r="I412" s="13">
        <v>0</v>
      </c>
      <c r="J412" s="13">
        <v>0</v>
      </c>
      <c r="K412" s="14" t="str">
        <f>HYPERLINK("http://twitter.com/#!/download/ipad","Twitter for iPad")</f>
        <v>Twitter for iPad</v>
      </c>
      <c r="L412" s="13">
        <v>5561</v>
      </c>
      <c r="M412" s="13">
        <v>1678</v>
      </c>
      <c r="N412" s="13">
        <v>106</v>
      </c>
      <c r="O412" s="15"/>
      <c r="P412" s="6">
        <v>40825.001388888893</v>
      </c>
      <c r="Q412" s="17" t="s">
        <v>1861</v>
      </c>
      <c r="R412" s="18" t="s">
        <v>1862</v>
      </c>
      <c r="S412" s="12"/>
      <c r="T412" s="12"/>
      <c r="U412" s="10" t="str">
        <f>HYPERLINK("https://pbs.twimg.com/profile_images/682336128318349313/qaAC1Qa-.jpg","View")</f>
        <v>View</v>
      </c>
    </row>
    <row r="413" spans="1:21" ht="20.399999999999999">
      <c r="A413" s="6">
        <v>43427.51734953704</v>
      </c>
      <c r="B413" s="7" t="str">
        <f>HYPERLINK("https://twitter.com/UniveSubversion","@UniveSubversion")</f>
        <v>@UniveSubversion</v>
      </c>
      <c r="C413" s="8" t="s">
        <v>1863</v>
      </c>
      <c r="D413" s="9" t="s">
        <v>1864</v>
      </c>
      <c r="E413" s="10" t="str">
        <f>HYPERLINK("https://twitter.com/UniveSubversion/status/1065929200052375558","1065929200052375558")</f>
        <v>1065929200052375558</v>
      </c>
      <c r="F413" s="12"/>
      <c r="G413" s="12"/>
      <c r="H413" s="12"/>
      <c r="I413" s="13">
        <v>0</v>
      </c>
      <c r="J413" s="13">
        <v>0</v>
      </c>
      <c r="K413" s="14" t="str">
        <f t="shared" ref="K413:K414" si="71">HYPERLINK("http://twitter.com/download/android","Twitter for Android")</f>
        <v>Twitter for Android</v>
      </c>
      <c r="L413" s="13">
        <v>48</v>
      </c>
      <c r="M413" s="13">
        <v>278</v>
      </c>
      <c r="N413" s="13">
        <v>0</v>
      </c>
      <c r="O413" s="15"/>
      <c r="P413" s="6">
        <v>43166.167291666672</v>
      </c>
      <c r="Q413" s="17" t="s">
        <v>1483</v>
      </c>
      <c r="R413" s="18" t="s">
        <v>1865</v>
      </c>
      <c r="S413" s="12"/>
      <c r="T413" s="12"/>
      <c r="U413" s="10" t="str">
        <f>HYPERLINK("https://pbs.twimg.com/profile_images/1054696410107535361/r4qe8B40.jpg","View")</f>
        <v>View</v>
      </c>
    </row>
    <row r="414" spans="1:21" ht="20.399999999999999">
      <c r="A414" s="6">
        <v>43427.517037037032</v>
      </c>
      <c r="B414" s="7" t="str">
        <f>HYPERLINK("https://twitter.com/arturoarenas10","@arturoarenas10")</f>
        <v>@arturoarenas10</v>
      </c>
      <c r="C414" s="8" t="s">
        <v>1866</v>
      </c>
      <c r="D414" s="9" t="s">
        <v>1867</v>
      </c>
      <c r="E414" s="10" t="str">
        <f>HYPERLINK("https://twitter.com/arturoarenas10/status/1065929083559845890","1065929083559845890")</f>
        <v>1065929083559845890</v>
      </c>
      <c r="F414" s="12"/>
      <c r="G414" s="12"/>
      <c r="H414" s="12"/>
      <c r="I414" s="13">
        <v>0</v>
      </c>
      <c r="J414" s="13">
        <v>1</v>
      </c>
      <c r="K414" s="14" t="str">
        <f t="shared" si="71"/>
        <v>Twitter for Android</v>
      </c>
      <c r="L414" s="13">
        <v>323</v>
      </c>
      <c r="M414" s="13">
        <v>714</v>
      </c>
      <c r="N414" s="13">
        <v>2</v>
      </c>
      <c r="O414" s="15"/>
      <c r="P414" s="6">
        <v>40529.450694444444</v>
      </c>
      <c r="Q414" s="17" t="s">
        <v>1868</v>
      </c>
      <c r="R414" s="19"/>
      <c r="S414" s="12"/>
      <c r="T414" s="12"/>
      <c r="U414" s="10" t="str">
        <f>HYPERLINK("https://pbs.twimg.com/profile_images/957206945802448897/N-AwIjdt.jpg","View")</f>
        <v>View</v>
      </c>
    </row>
    <row r="415" spans="1:21" ht="40.799999999999997">
      <c r="A415" s="6">
        <v>43427.51667824074</v>
      </c>
      <c r="B415" s="7" t="str">
        <f>HYPERLINK("https://twitter.com/pparagon","@pparagon")</f>
        <v>@pparagon</v>
      </c>
      <c r="C415" s="8" t="s">
        <v>1869</v>
      </c>
      <c r="D415" s="9" t="s">
        <v>1870</v>
      </c>
      <c r="E415" s="10" t="str">
        <f>HYPERLINK("https://twitter.com/pparagon/status/1065928955386126336","1065928955386126336")</f>
        <v>1065928955386126336</v>
      </c>
      <c r="F415" s="11" t="s">
        <v>1871</v>
      </c>
      <c r="G415" s="11" t="s">
        <v>1872</v>
      </c>
      <c r="H415" s="12"/>
      <c r="I415" s="13">
        <v>10</v>
      </c>
      <c r="J415" s="13">
        <v>13</v>
      </c>
      <c r="K415" s="14" t="str">
        <f>HYPERLINK("http://twitter.com","Twitter Web Client")</f>
        <v>Twitter Web Client</v>
      </c>
      <c r="L415" s="13">
        <v>10021</v>
      </c>
      <c r="M415" s="13">
        <v>1083</v>
      </c>
      <c r="N415" s="13">
        <v>221</v>
      </c>
      <c r="O415" s="16" t="s">
        <v>26</v>
      </c>
      <c r="P415" s="6">
        <v>39777.552187499998</v>
      </c>
      <c r="Q415" s="17" t="s">
        <v>1873</v>
      </c>
      <c r="R415" s="18" t="s">
        <v>1874</v>
      </c>
      <c r="S415" s="11" t="s">
        <v>1875</v>
      </c>
      <c r="T415" s="12"/>
      <c r="U415" s="10" t="str">
        <f>HYPERLINK("https://pbs.twimg.com/profile_images/1054272359904043009/IVUwU1FH.jpg","View")</f>
        <v>View</v>
      </c>
    </row>
    <row r="416" spans="1:21" ht="40.799999999999997">
      <c r="A416" s="6">
        <v>43427.516527777778</v>
      </c>
      <c r="B416" s="7" t="str">
        <f>HYPERLINK("https://twitter.com/mamisebastiana","@mamisebastiana")</f>
        <v>@mamisebastiana</v>
      </c>
      <c r="C416" s="8" t="s">
        <v>1876</v>
      </c>
      <c r="D416" s="9" t="s">
        <v>1877</v>
      </c>
      <c r="E416" s="10" t="str">
        <f>HYPERLINK("https://twitter.com/mamisebastiana/status/1065928900046401536","1065928900046401536")</f>
        <v>1065928900046401536</v>
      </c>
      <c r="F416" s="11" t="s">
        <v>1878</v>
      </c>
      <c r="G416" s="12"/>
      <c r="H416" s="12"/>
      <c r="I416" s="13">
        <v>0</v>
      </c>
      <c r="J416" s="13">
        <v>0</v>
      </c>
      <c r="K416" s="14" t="str">
        <f>HYPERLINK("http://www.facebook.com/twitter","Facebook")</f>
        <v>Facebook</v>
      </c>
      <c r="L416" s="13">
        <v>3526</v>
      </c>
      <c r="M416" s="13">
        <v>1577</v>
      </c>
      <c r="N416" s="13">
        <v>81</v>
      </c>
      <c r="O416" s="15"/>
      <c r="P416" s="6">
        <v>40292.516817129632</v>
      </c>
      <c r="Q416" s="17" t="s">
        <v>40</v>
      </c>
      <c r="R416" s="18" t="s">
        <v>1879</v>
      </c>
      <c r="S416" s="11" t="s">
        <v>1880</v>
      </c>
      <c r="T416" s="12"/>
      <c r="U416" s="10" t="str">
        <f>HYPERLINK("https://pbs.twimg.com/profile_images/1041822981486301184/6R6YdzqJ.jpg","View")</f>
        <v>View</v>
      </c>
    </row>
    <row r="417" spans="1:21" ht="51">
      <c r="A417" s="6">
        <v>43427.515532407408</v>
      </c>
      <c r="B417" s="7" t="str">
        <f>HYPERLINK("https://twitter.com/ManuelBudio","@ManuelBudio")</f>
        <v>@ManuelBudio</v>
      </c>
      <c r="C417" s="8" t="s">
        <v>1881</v>
      </c>
      <c r="D417" s="9" t="s">
        <v>1882</v>
      </c>
      <c r="E417" s="10" t="str">
        <f>HYPERLINK("https://twitter.com/ManuelBudio/status/1065928541718683648","1065928541718683648")</f>
        <v>1065928541718683648</v>
      </c>
      <c r="F417" s="11" t="s">
        <v>163</v>
      </c>
      <c r="G417" s="12"/>
      <c r="H417" s="12"/>
      <c r="I417" s="13">
        <v>0</v>
      </c>
      <c r="J417" s="13">
        <v>0</v>
      </c>
      <c r="K417" s="14" t="str">
        <f t="shared" ref="K417:K418" si="72">HYPERLINK("http://twitter.com","Twitter Web Client")</f>
        <v>Twitter Web Client</v>
      </c>
      <c r="L417" s="13">
        <v>3322</v>
      </c>
      <c r="M417" s="13">
        <v>3375</v>
      </c>
      <c r="N417" s="13">
        <v>52</v>
      </c>
      <c r="O417" s="15"/>
      <c r="P417" s="6">
        <v>41758.639456018514</v>
      </c>
      <c r="Q417" s="12"/>
      <c r="R417" s="19"/>
      <c r="S417" s="12"/>
      <c r="T417" s="12"/>
      <c r="U417" s="10" t="str">
        <f>HYPERLINK("https://pbs.twimg.com/profile_images/461133824366104576/laIkQZCn.jpeg","View")</f>
        <v>View</v>
      </c>
    </row>
    <row r="418" spans="1:21" ht="20.399999999999999">
      <c r="A418" s="6">
        <v>43427.515474537038</v>
      </c>
      <c r="B418" s="7" t="str">
        <f>HYPERLINK("https://twitter.com/albergueria","@albergueria")</f>
        <v>@albergueria</v>
      </c>
      <c r="C418" s="8" t="s">
        <v>1883</v>
      </c>
      <c r="D418" s="9" t="s">
        <v>227</v>
      </c>
      <c r="E418" s="10" t="str">
        <f>HYPERLINK("https://twitter.com/albergueria/status/1065928517341335552","1065928517341335552")</f>
        <v>1065928517341335552</v>
      </c>
      <c r="F418" s="11" t="s">
        <v>228</v>
      </c>
      <c r="G418" s="12"/>
      <c r="H418" s="12"/>
      <c r="I418" s="13">
        <v>0</v>
      </c>
      <c r="J418" s="13">
        <v>0</v>
      </c>
      <c r="K418" s="14" t="str">
        <f t="shared" si="72"/>
        <v>Twitter Web Client</v>
      </c>
      <c r="L418" s="13">
        <v>10</v>
      </c>
      <c r="M418" s="13">
        <v>21</v>
      </c>
      <c r="N418" s="13">
        <v>0</v>
      </c>
      <c r="O418" s="15"/>
      <c r="P418" s="6">
        <v>40594.56212962963</v>
      </c>
      <c r="Q418" s="12"/>
      <c r="R418" s="19"/>
      <c r="S418" s="12"/>
      <c r="T418" s="12"/>
      <c r="U418" s="16" t="s">
        <v>373</v>
      </c>
    </row>
    <row r="419" spans="1:21" ht="20.399999999999999">
      <c r="A419" s="6">
        <v>43427.514641203699</v>
      </c>
      <c r="B419" s="7" t="str">
        <f>HYPERLINK("https://twitter.com/sextaNoticias","@sextaNoticias")</f>
        <v>@sextaNoticias</v>
      </c>
      <c r="C419" s="8" t="s">
        <v>1884</v>
      </c>
      <c r="D419" s="9" t="s">
        <v>1885</v>
      </c>
      <c r="E419" s="10" t="str">
        <f>HYPERLINK("https://twitter.com/sextaNoticias/status/1065928217620557825","1065928217620557825")</f>
        <v>1065928217620557825</v>
      </c>
      <c r="F419" s="11" t="s">
        <v>1886</v>
      </c>
      <c r="G419" s="12"/>
      <c r="H419" s="12"/>
      <c r="I419" s="13">
        <v>5</v>
      </c>
      <c r="J419" s="13">
        <v>4</v>
      </c>
      <c r="K419" s="14" t="str">
        <f>HYPERLINK("http://dogtrack.es","DogTrack_Oficial")</f>
        <v>DogTrack_Oficial</v>
      </c>
      <c r="L419" s="13">
        <v>1108910</v>
      </c>
      <c r="M419" s="13">
        <v>279</v>
      </c>
      <c r="N419" s="13">
        <v>7292</v>
      </c>
      <c r="O419" s="16" t="s">
        <v>26</v>
      </c>
      <c r="P419" s="6">
        <v>40099.614328703705</v>
      </c>
      <c r="Q419" s="12"/>
      <c r="R419" s="18" t="s">
        <v>1887</v>
      </c>
      <c r="S419" s="11" t="s">
        <v>1888</v>
      </c>
      <c r="T419" s="12"/>
      <c r="U419" s="10" t="str">
        <f>HYPERLINK("https://pbs.twimg.com/profile_images/898970208551022592/hh3ITSK-.jpg","View")</f>
        <v>View</v>
      </c>
    </row>
    <row r="420" spans="1:21" ht="30.6">
      <c r="A420" s="6">
        <v>43427.513749999998</v>
      </c>
      <c r="B420" s="7" t="str">
        <f>HYPERLINK("https://twitter.com/EtxarriTonia","@EtxarriTonia")</f>
        <v>@EtxarriTonia</v>
      </c>
      <c r="C420" s="8" t="s">
        <v>1889</v>
      </c>
      <c r="D420" s="9" t="s">
        <v>1890</v>
      </c>
      <c r="E420" s="10" t="str">
        <f>HYPERLINK("https://twitter.com/EtxarriTonia/status/1065927893707096064","1065927893707096064")</f>
        <v>1065927893707096064</v>
      </c>
      <c r="F420" s="11" t="s">
        <v>207</v>
      </c>
      <c r="G420" s="11" t="s">
        <v>1891</v>
      </c>
      <c r="H420" s="12"/>
      <c r="I420" s="13">
        <v>0</v>
      </c>
      <c r="J420" s="13">
        <v>0</v>
      </c>
      <c r="K420" s="14" t="str">
        <f>HYPERLINK("http://twitter.com/download/android","Twitter for Android")</f>
        <v>Twitter for Android</v>
      </c>
      <c r="L420" s="13">
        <v>1362</v>
      </c>
      <c r="M420" s="13">
        <v>241</v>
      </c>
      <c r="N420" s="13">
        <v>43</v>
      </c>
      <c r="O420" s="15"/>
      <c r="P420" s="6">
        <v>41108.691423611112</v>
      </c>
      <c r="Q420" s="17" t="s">
        <v>1892</v>
      </c>
      <c r="R420" s="18" t="s">
        <v>1893</v>
      </c>
      <c r="S420" s="12"/>
      <c r="T420" s="12"/>
      <c r="U420" s="10" t="str">
        <f>HYPERLINK("https://pbs.twimg.com/profile_images/1015966157835292674/KXYuua_1.jpg","View")</f>
        <v>View</v>
      </c>
    </row>
    <row r="421" spans="1:21" ht="20.399999999999999">
      <c r="A421" s="6">
        <v>43427.513425925921</v>
      </c>
      <c r="B421" s="7" t="str">
        <f>HYPERLINK("https://twitter.com/rscabanillas","@rscabanillas")</f>
        <v>@rscabanillas</v>
      </c>
      <c r="C421" s="8" t="s">
        <v>1894</v>
      </c>
      <c r="D421" s="9" t="s">
        <v>1895</v>
      </c>
      <c r="E421" s="10" t="str">
        <f>HYPERLINK("https://twitter.com/rscabanillas/status/1065927774341345281","1065927774341345281")</f>
        <v>1065927774341345281</v>
      </c>
      <c r="F421" s="12"/>
      <c r="G421" s="12"/>
      <c r="H421" s="12"/>
      <c r="I421" s="13">
        <v>0</v>
      </c>
      <c r="J421" s="13">
        <v>0</v>
      </c>
      <c r="K421" s="14" t="str">
        <f>HYPERLINK("http://twitter.com","Twitter Web Client")</f>
        <v>Twitter Web Client</v>
      </c>
      <c r="L421" s="13">
        <v>235</v>
      </c>
      <c r="M421" s="13">
        <v>648</v>
      </c>
      <c r="N421" s="13">
        <v>8</v>
      </c>
      <c r="O421" s="15"/>
      <c r="P421" s="6">
        <v>40281.903067129628</v>
      </c>
      <c r="Q421" s="17" t="s">
        <v>1278</v>
      </c>
      <c r="R421" s="18" t="s">
        <v>1896</v>
      </c>
      <c r="S421" s="12"/>
      <c r="T421" s="12"/>
      <c r="U421" s="10" t="str">
        <f>HYPERLINK("https://pbs.twimg.com/profile_images/2466541336/b20z9vh4c994siwzfxv8.jpeg","View")</f>
        <v>View</v>
      </c>
    </row>
    <row r="422" spans="1:21" ht="20.399999999999999">
      <c r="A422" s="6">
        <v>43427.513009259259</v>
      </c>
      <c r="B422" s="7" t="str">
        <f>HYPERLINK("https://twitter.com/Cubanoselmundo","@Cubanoselmundo")</f>
        <v>@Cubanoselmundo</v>
      </c>
      <c r="C422" s="8" t="s">
        <v>1897</v>
      </c>
      <c r="D422" s="9" t="s">
        <v>1898</v>
      </c>
      <c r="E422" s="10" t="str">
        <f>HYPERLINK("https://twitter.com/Cubanoselmundo/status/1065927623778422784","1065927623778422784")</f>
        <v>1065927623778422784</v>
      </c>
      <c r="F422" s="11" t="s">
        <v>1899</v>
      </c>
      <c r="G422" s="12"/>
      <c r="H422" s="12"/>
      <c r="I422" s="13">
        <v>0</v>
      </c>
      <c r="J422" s="13">
        <v>2</v>
      </c>
      <c r="K422" s="14" t="str">
        <f>HYPERLINK("https://www.google.com/","Google")</f>
        <v>Google</v>
      </c>
      <c r="L422" s="13">
        <v>35883</v>
      </c>
      <c r="M422" s="13">
        <v>39452</v>
      </c>
      <c r="N422" s="13">
        <v>199</v>
      </c>
      <c r="O422" s="15"/>
      <c r="P422" s="6">
        <v>40061.922453703708</v>
      </c>
      <c r="Q422" s="17" t="s">
        <v>1282</v>
      </c>
      <c r="R422" s="18" t="s">
        <v>1900</v>
      </c>
      <c r="S422" s="11" t="s">
        <v>1901</v>
      </c>
      <c r="T422" s="12"/>
      <c r="U422" s="10" t="str">
        <f>HYPERLINK("https://pbs.twimg.com/profile_images/660998381670502400/HBObLaHg.jpg","View")</f>
        <v>View</v>
      </c>
    </row>
    <row r="423" spans="1:21" ht="20.399999999999999">
      <c r="A423" s="6">
        <v>43427.511747685188</v>
      </c>
      <c r="B423" s="7" t="str">
        <f>HYPERLINK("https://twitter.com/AntoniaSanz3","@AntoniaSanz3")</f>
        <v>@AntoniaSanz3</v>
      </c>
      <c r="C423" s="8" t="s">
        <v>1902</v>
      </c>
      <c r="D423" s="9" t="s">
        <v>1596</v>
      </c>
      <c r="E423" s="10" t="str">
        <f>HYPERLINK("https://twitter.com/AntoniaSanz3/status/1065927166293098496","1065927166293098496")</f>
        <v>1065927166293098496</v>
      </c>
      <c r="F423" s="11" t="s">
        <v>208</v>
      </c>
      <c r="G423" s="12"/>
      <c r="H423" s="12"/>
      <c r="I423" s="13">
        <v>0</v>
      </c>
      <c r="J423" s="13">
        <v>0</v>
      </c>
      <c r="K423" s="14" t="str">
        <f>HYPERLINK("http://twitter.com/download/android","Twitter for Android")</f>
        <v>Twitter for Android</v>
      </c>
      <c r="L423" s="13">
        <v>1214</v>
      </c>
      <c r="M423" s="13">
        <v>1222</v>
      </c>
      <c r="N423" s="13">
        <v>21</v>
      </c>
      <c r="O423" s="15"/>
      <c r="P423" s="6">
        <v>42582.46806712963</v>
      </c>
      <c r="Q423" s="17" t="s">
        <v>28</v>
      </c>
      <c r="R423" s="18" t="s">
        <v>1903</v>
      </c>
      <c r="S423" s="12"/>
      <c r="T423" s="12"/>
      <c r="U423" s="10" t="str">
        <f>HYPERLINK("https://pbs.twimg.com/profile_images/760411799124578304/MdsPa7rk.jpg","View")</f>
        <v>View</v>
      </c>
    </row>
    <row r="424" spans="1:21" ht="30.6">
      <c r="A424" s="6">
        <v>43427.511724537035</v>
      </c>
      <c r="B424" s="7" t="str">
        <f>HYPERLINK("https://twitter.com/Expectativas01","@Expectativas01")</f>
        <v>@Expectativas01</v>
      </c>
      <c r="C424" s="8" t="s">
        <v>1904</v>
      </c>
      <c r="D424" s="9" t="s">
        <v>1812</v>
      </c>
      <c r="E424" s="10" t="str">
        <f>HYPERLINK("https://twitter.com/Expectativas01/status/1065927160131665922","1065927160131665922")</f>
        <v>1065927160131665922</v>
      </c>
      <c r="F424" s="11" t="s">
        <v>1905</v>
      </c>
      <c r="G424" s="12"/>
      <c r="H424" s="12"/>
      <c r="I424" s="13">
        <v>0</v>
      </c>
      <c r="J424" s="13">
        <v>0</v>
      </c>
      <c r="K424" s="14" t="str">
        <f>HYPERLINK("http://www.facebook.com/twitter","Facebook")</f>
        <v>Facebook</v>
      </c>
      <c r="L424" s="13">
        <v>346</v>
      </c>
      <c r="M424" s="13">
        <v>501</v>
      </c>
      <c r="N424" s="13">
        <v>8</v>
      </c>
      <c r="O424" s="15"/>
      <c r="P424" s="6">
        <v>42470.833495370374</v>
      </c>
      <c r="Q424" s="17" t="s">
        <v>1906</v>
      </c>
      <c r="R424" s="18" t="s">
        <v>1907</v>
      </c>
      <c r="S424" s="11" t="s">
        <v>1908</v>
      </c>
      <c r="T424" s="12"/>
      <c r="U424" s="10" t="str">
        <f>HYPERLINK("https://pbs.twimg.com/profile_images/830184931565383681/LT8zwnkD.jpg","View")</f>
        <v>View</v>
      </c>
    </row>
    <row r="425" spans="1:21" ht="40.799999999999997">
      <c r="A425" s="6">
        <v>43427.511643518519</v>
      </c>
      <c r="B425" s="7" t="str">
        <f>HYPERLINK("https://twitter.com/embacubaven","@embacubaven")</f>
        <v>@embacubaven</v>
      </c>
      <c r="C425" s="8" t="s">
        <v>1909</v>
      </c>
      <c r="D425" s="9" t="s">
        <v>1910</v>
      </c>
      <c r="E425" s="10" t="str">
        <f>HYPERLINK("https://twitter.com/embacubaven/status/1065927131803328512","1065927131803328512")</f>
        <v>1065927131803328512</v>
      </c>
      <c r="F425" s="11" t="s">
        <v>1911</v>
      </c>
      <c r="G425" s="12"/>
      <c r="H425" s="12"/>
      <c r="I425" s="13">
        <v>5</v>
      </c>
      <c r="J425" s="13">
        <v>4</v>
      </c>
      <c r="K425" s="14" t="str">
        <f>HYPERLINK("http://twitter.com/download/android","Twitter for Android")</f>
        <v>Twitter for Android</v>
      </c>
      <c r="L425" s="13">
        <v>18404</v>
      </c>
      <c r="M425" s="13">
        <v>1943</v>
      </c>
      <c r="N425" s="13">
        <v>212</v>
      </c>
      <c r="O425" s="15"/>
      <c r="P425" s="6">
        <v>40425.242361111115</v>
      </c>
      <c r="Q425" s="17" t="s">
        <v>383</v>
      </c>
      <c r="R425" s="18" t="s">
        <v>1912</v>
      </c>
      <c r="S425" s="11" t="s">
        <v>1913</v>
      </c>
      <c r="T425" s="12"/>
      <c r="U425" s="10" t="str">
        <f>HYPERLINK("https://pbs.twimg.com/profile_images/998544422160642052/eWKrWXbY.jpg","View")</f>
        <v>View</v>
      </c>
    </row>
    <row r="426" spans="1:21" ht="30.6">
      <c r="A426" s="6">
        <v>43427.511331018519</v>
      </c>
      <c r="B426" s="7" t="str">
        <f>HYPERLINK("https://twitter.com/Expectativas01","@Expectativas01")</f>
        <v>@Expectativas01</v>
      </c>
      <c r="C426" s="8" t="s">
        <v>1904</v>
      </c>
      <c r="D426" s="9" t="s">
        <v>1914</v>
      </c>
      <c r="E426" s="10" t="str">
        <f>HYPERLINK("https://twitter.com/Expectativas01/status/1065927017219141638","1065927017219141638")</f>
        <v>1065927017219141638</v>
      </c>
      <c r="F426" s="11" t="s">
        <v>1915</v>
      </c>
      <c r="G426" s="12"/>
      <c r="H426" s="12"/>
      <c r="I426" s="13">
        <v>0</v>
      </c>
      <c r="J426" s="13">
        <v>0</v>
      </c>
      <c r="K426" s="14" t="str">
        <f t="shared" ref="K426:K427" si="73">HYPERLINK("http://twitter.com","Twitter Web Client")</f>
        <v>Twitter Web Client</v>
      </c>
      <c r="L426" s="13">
        <v>346</v>
      </c>
      <c r="M426" s="13">
        <v>501</v>
      </c>
      <c r="N426" s="13">
        <v>8</v>
      </c>
      <c r="O426" s="15"/>
      <c r="P426" s="6">
        <v>42470.833495370374</v>
      </c>
      <c r="Q426" s="17" t="s">
        <v>1906</v>
      </c>
      <c r="R426" s="18" t="s">
        <v>1907</v>
      </c>
      <c r="S426" s="11" t="s">
        <v>1908</v>
      </c>
      <c r="T426" s="12"/>
      <c r="U426" s="10" t="str">
        <f>HYPERLINK("https://pbs.twimg.com/profile_images/830184931565383681/LT8zwnkD.jpg","View")</f>
        <v>View</v>
      </c>
    </row>
    <row r="427" spans="1:21" ht="40.799999999999997">
      <c r="A427" s="6">
        <v>43427.511203703703</v>
      </c>
      <c r="B427" s="7" t="str">
        <f>HYPERLINK("https://twitter.com/HispaniaFortius","@HispaniaFortius")</f>
        <v>@HispaniaFortius</v>
      </c>
      <c r="C427" s="8" t="s">
        <v>1916</v>
      </c>
      <c r="D427" s="9" t="s">
        <v>1917</v>
      </c>
      <c r="E427" s="10" t="str">
        <f>HYPERLINK("https://twitter.com/HispaniaFortius/status/1065926969383112704","1065926969383112704")</f>
        <v>1065926969383112704</v>
      </c>
      <c r="F427" s="11" t="s">
        <v>1918</v>
      </c>
      <c r="G427" s="12"/>
      <c r="H427" s="12"/>
      <c r="I427" s="13">
        <v>4</v>
      </c>
      <c r="J427" s="13">
        <v>1</v>
      </c>
      <c r="K427" s="14" t="str">
        <f t="shared" si="73"/>
        <v>Twitter Web Client</v>
      </c>
      <c r="L427" s="13">
        <v>4807</v>
      </c>
      <c r="M427" s="13">
        <v>3174</v>
      </c>
      <c r="N427" s="13">
        <v>25</v>
      </c>
      <c r="O427" s="15"/>
      <c r="P427" s="6">
        <v>42705.48436342593</v>
      </c>
      <c r="Q427" s="17" t="s">
        <v>1920</v>
      </c>
      <c r="R427" s="18" t="s">
        <v>1921</v>
      </c>
      <c r="S427" s="11" t="s">
        <v>1922</v>
      </c>
      <c r="T427" s="12"/>
      <c r="U427" s="10" t="str">
        <f>HYPERLINK("https://pbs.twimg.com/profile_images/1046663897560829952/eNO1bPMq.jpg","View")</f>
        <v>View</v>
      </c>
    </row>
    <row r="428" spans="1:21" ht="30.6">
      <c r="A428" s="6">
        <v>43427.511111111111</v>
      </c>
      <c r="B428" s="7" t="str">
        <f>HYPERLINK("https://twitter.com/ideal_almeria","@ideal_almeria")</f>
        <v>@ideal_almeria</v>
      </c>
      <c r="C428" s="8" t="s">
        <v>1926</v>
      </c>
      <c r="D428" s="9" t="s">
        <v>1927</v>
      </c>
      <c r="E428" s="10" t="str">
        <f>HYPERLINK("https://twitter.com/ideal_almeria/status/1065926937141379072","1065926937141379072")</f>
        <v>1065926937141379072</v>
      </c>
      <c r="F428" s="11" t="s">
        <v>1928</v>
      </c>
      <c r="G428" s="12"/>
      <c r="H428" s="12"/>
      <c r="I428" s="13">
        <v>0</v>
      </c>
      <c r="J428" s="13">
        <v>0</v>
      </c>
      <c r="K428" s="14" t="str">
        <f>HYPERLINK("https://about.twitter.com/products/tweetdeck","TweetDeck")</f>
        <v>TweetDeck</v>
      </c>
      <c r="L428" s="13">
        <v>16762</v>
      </c>
      <c r="M428" s="13">
        <v>420</v>
      </c>
      <c r="N428" s="13">
        <v>349</v>
      </c>
      <c r="O428" s="16" t="s">
        <v>26</v>
      </c>
      <c r="P428" s="6">
        <v>40443.466446759259</v>
      </c>
      <c r="Q428" s="17" t="s">
        <v>1929</v>
      </c>
      <c r="R428" s="18" t="s">
        <v>1930</v>
      </c>
      <c r="S428" s="11" t="s">
        <v>1931</v>
      </c>
      <c r="T428" s="12"/>
      <c r="U428" s="10" t="str">
        <f>HYPERLINK("https://pbs.twimg.com/profile_images/875627295809064963/M1sTpdXi.jpg","View")</f>
        <v>View</v>
      </c>
    </row>
    <row r="429" spans="1:21" ht="20.399999999999999">
      <c r="A429" s="6">
        <v>43427.510115740741</v>
      </c>
      <c r="B429" s="7" t="str">
        <f>HYPERLINK("https://twitter.com/lygofukisoby","@lygofukisoby")</f>
        <v>@lygofukisoby</v>
      </c>
      <c r="C429" s="8" t="s">
        <v>1932</v>
      </c>
      <c r="D429" s="9" t="s">
        <v>991</v>
      </c>
      <c r="E429" s="10" t="str">
        <f>HYPERLINK("https://twitter.com/lygofukisoby/status/1065926575911251968","1065926575911251968")</f>
        <v>1065926575911251968</v>
      </c>
      <c r="F429" s="12"/>
      <c r="G429" s="11" t="s">
        <v>1933</v>
      </c>
      <c r="H429" s="12"/>
      <c r="I429" s="13">
        <v>0</v>
      </c>
      <c r="J429" s="13">
        <v>0</v>
      </c>
      <c r="K429" s="14" t="str">
        <f>HYPERLINK("https://ifttt.com","IFTTT")</f>
        <v>IFTTT</v>
      </c>
      <c r="L429" s="13">
        <v>51</v>
      </c>
      <c r="M429" s="13">
        <v>79</v>
      </c>
      <c r="N429" s="13">
        <v>3</v>
      </c>
      <c r="O429" s="15"/>
      <c r="P429" s="6">
        <v>41706.167800925927</v>
      </c>
      <c r="Q429" s="17" t="s">
        <v>1934</v>
      </c>
      <c r="R429" s="18" t="s">
        <v>1935</v>
      </c>
      <c r="S429" s="12"/>
      <c r="T429" s="12"/>
      <c r="U429" s="10" t="str">
        <f>HYPERLINK("https://pbs.twimg.com/profile_images/456020719474733056/_aI4ObiR.jpeg","View")</f>
        <v>View</v>
      </c>
    </row>
    <row r="430" spans="1:21" ht="40.799999999999997">
      <c r="A430" s="6">
        <v>43427.509421296301</v>
      </c>
      <c r="B430" s="7" t="str">
        <f>HYPERLINK("https://twitter.com/xalomonte","@xalomonte")</f>
        <v>@xalomonte</v>
      </c>
      <c r="C430" s="8" t="s">
        <v>1936</v>
      </c>
      <c r="D430" s="9" t="s">
        <v>1937</v>
      </c>
      <c r="E430" s="10" t="str">
        <f>HYPERLINK("https://twitter.com/xalomonte/status/1065926323871379456","1065926323871379456")</f>
        <v>1065926323871379456</v>
      </c>
      <c r="F430" s="11" t="s">
        <v>1938</v>
      </c>
      <c r="G430" s="12"/>
      <c r="H430" s="12"/>
      <c r="I430" s="13">
        <v>0</v>
      </c>
      <c r="J430" s="13">
        <v>0</v>
      </c>
      <c r="K430" s="14" t="str">
        <f t="shared" ref="K430:K431" si="74">HYPERLINK("http://twitter.com","Twitter Web Client")</f>
        <v>Twitter Web Client</v>
      </c>
      <c r="L430" s="13">
        <v>2147</v>
      </c>
      <c r="M430" s="13">
        <v>2024</v>
      </c>
      <c r="N430" s="13">
        <v>34</v>
      </c>
      <c r="O430" s="15"/>
      <c r="P430" s="6">
        <v>40394.780034722222</v>
      </c>
      <c r="Q430" s="17" t="s">
        <v>1939</v>
      </c>
      <c r="R430" s="18" t="s">
        <v>1940</v>
      </c>
      <c r="S430" s="11" t="s">
        <v>1941</v>
      </c>
      <c r="T430" s="12"/>
      <c r="U430" s="10" t="str">
        <f>HYPERLINK("https://pbs.twimg.com/profile_images/497008794157608960/BSVZbeaB.jpeg","View")</f>
        <v>View</v>
      </c>
    </row>
    <row r="431" spans="1:21" ht="71.400000000000006">
      <c r="A431" s="6">
        <v>43427.509421296301</v>
      </c>
      <c r="B431" s="7" t="str">
        <f>HYPERLINK("https://twitter.com/lorente1980_EC","@lorente1980_EC")</f>
        <v>@lorente1980_EC</v>
      </c>
      <c r="C431" s="8" t="s">
        <v>1942</v>
      </c>
      <c r="D431" s="9" t="s">
        <v>1943</v>
      </c>
      <c r="E431" s="10" t="str">
        <f>HYPERLINK("https://twitter.com/lorente1980_EC/status/1065926323154108416","1065926323154108416")</f>
        <v>1065926323154108416</v>
      </c>
      <c r="F431" s="17" t="s">
        <v>1944</v>
      </c>
      <c r="G431" s="12"/>
      <c r="H431" s="12"/>
      <c r="I431" s="13">
        <v>0</v>
      </c>
      <c r="J431" s="13">
        <v>1</v>
      </c>
      <c r="K431" s="14" t="str">
        <f t="shared" si="74"/>
        <v>Twitter Web Client</v>
      </c>
      <c r="L431" s="13">
        <v>2387</v>
      </c>
      <c r="M431" s="13">
        <v>733</v>
      </c>
      <c r="N431" s="13">
        <v>154</v>
      </c>
      <c r="O431" s="15"/>
      <c r="P431" s="6">
        <v>40462.680636574078</v>
      </c>
      <c r="Q431" s="17" t="s">
        <v>1565</v>
      </c>
      <c r="R431" s="18" t="s">
        <v>1945</v>
      </c>
      <c r="S431" s="11" t="s">
        <v>1946</v>
      </c>
      <c r="T431" s="12"/>
      <c r="U431" s="10" t="str">
        <f>HYPERLINK("https://pbs.twimg.com/profile_images/988827951406907393/b4KQ50BX.jpg","View")</f>
        <v>View</v>
      </c>
    </row>
    <row r="432" spans="1:21" ht="30.6">
      <c r="A432" s="6">
        <v>43427.50880787037</v>
      </c>
      <c r="B432" s="7" t="str">
        <f>HYPERLINK("https://twitter.com/JoseLui43872588","@JoseLui43872588")</f>
        <v>@JoseLui43872588</v>
      </c>
      <c r="C432" s="8" t="s">
        <v>1947</v>
      </c>
      <c r="D432" s="9" t="s">
        <v>1948</v>
      </c>
      <c r="E432" s="10" t="str">
        <f>HYPERLINK("https://twitter.com/JoseLui43872588/status/1065926104240844800","1065926104240844800")</f>
        <v>1065926104240844800</v>
      </c>
      <c r="F432" s="12"/>
      <c r="G432" s="12"/>
      <c r="H432" s="12"/>
      <c r="I432" s="13">
        <v>1</v>
      </c>
      <c r="J432" s="13">
        <v>1</v>
      </c>
      <c r="K432" s="14" t="str">
        <f>HYPERLINK("http://twitter.com/download/android","Twitter for Android")</f>
        <v>Twitter for Android</v>
      </c>
      <c r="L432" s="13">
        <v>512</v>
      </c>
      <c r="M432" s="13">
        <v>128</v>
      </c>
      <c r="N432" s="13">
        <v>7</v>
      </c>
      <c r="O432" s="15"/>
      <c r="P432" s="6">
        <v>42705.999224537038</v>
      </c>
      <c r="Q432" s="17" t="s">
        <v>810</v>
      </c>
      <c r="R432" s="18" t="s">
        <v>1949</v>
      </c>
      <c r="S432" s="12"/>
      <c r="T432" s="12"/>
      <c r="U432" s="10" t="str">
        <f>HYPERLINK("https://pbs.twimg.com/profile_images/1009872713064820737/I4zrX8RR.jpg","View")</f>
        <v>View</v>
      </c>
    </row>
    <row r="433" spans="1:21" ht="20.399999999999999">
      <c r="A433" s="6">
        <v>43427.508368055554</v>
      </c>
      <c r="B433" s="7" t="str">
        <f>HYPERLINK("https://twitter.com/OccuWorld","@OccuWorld")</f>
        <v>@OccuWorld</v>
      </c>
      <c r="C433" s="8" t="s">
        <v>1950</v>
      </c>
      <c r="D433" s="9" t="s">
        <v>1951</v>
      </c>
      <c r="E433" s="10" t="str">
        <f>HYPERLINK("https://twitter.com/OccuWorld/status/1065925943401820160","1065925943401820160")</f>
        <v>1065925943401820160</v>
      </c>
      <c r="F433" s="11" t="s">
        <v>1952</v>
      </c>
      <c r="G433" s="12"/>
      <c r="H433" s="12"/>
      <c r="I433" s="13">
        <v>0</v>
      </c>
      <c r="J433" s="13">
        <v>0</v>
      </c>
      <c r="K433" s="14" t="str">
        <f>HYPERLINK("http://www.occuworld.org","OccuWorld")</f>
        <v>OccuWorld</v>
      </c>
      <c r="L433" s="13">
        <v>7937</v>
      </c>
      <c r="M433" s="13">
        <v>1214</v>
      </c>
      <c r="N433" s="13">
        <v>1232</v>
      </c>
      <c r="O433" s="15"/>
      <c r="P433" s="6">
        <v>41319.735625000001</v>
      </c>
      <c r="Q433" s="17" t="s">
        <v>1953</v>
      </c>
      <c r="R433" s="18" t="s">
        <v>1954</v>
      </c>
      <c r="S433" s="11" t="s">
        <v>1955</v>
      </c>
      <c r="T433" s="12"/>
      <c r="U433" s="10" t="str">
        <f>HYPERLINK("https://pbs.twimg.com/profile_images/563724232287211520/sEoE-N6j.jpeg","View")</f>
        <v>View</v>
      </c>
    </row>
    <row r="434" spans="1:21" ht="51">
      <c r="A434" s="6">
        <v>43427.507766203707</v>
      </c>
      <c r="B434" s="7" t="str">
        <f>HYPERLINK("https://twitter.com/CopeJaen","@CopeJaen")</f>
        <v>@CopeJaen</v>
      </c>
      <c r="C434" s="8" t="s">
        <v>1956</v>
      </c>
      <c r="D434" s="9" t="s">
        <v>1957</v>
      </c>
      <c r="E434" s="10" t="str">
        <f>HYPERLINK("https://twitter.com/CopeJaen/status/1065925725340004354","1065925725340004354")</f>
        <v>1065925725340004354</v>
      </c>
      <c r="F434" s="11" t="s">
        <v>1958</v>
      </c>
      <c r="G434" s="11" t="s">
        <v>1959</v>
      </c>
      <c r="H434" s="12"/>
      <c r="I434" s="13">
        <v>0</v>
      </c>
      <c r="J434" s="13">
        <v>0</v>
      </c>
      <c r="K434" s="14" t="str">
        <f>HYPERLINK("http://twitter.com","Twitter Web Client")</f>
        <v>Twitter Web Client</v>
      </c>
      <c r="L434" s="13">
        <v>5225</v>
      </c>
      <c r="M434" s="13">
        <v>813</v>
      </c>
      <c r="N434" s="13">
        <v>78</v>
      </c>
      <c r="O434" s="15"/>
      <c r="P434" s="6">
        <v>40450.35396990741</v>
      </c>
      <c r="Q434" s="17" t="s">
        <v>1960</v>
      </c>
      <c r="R434" s="18" t="s">
        <v>1961</v>
      </c>
      <c r="S434" s="11" t="s">
        <v>1962</v>
      </c>
      <c r="T434" s="12"/>
      <c r="U434" s="10" t="str">
        <f>HYPERLINK("https://pbs.twimg.com/profile_images/744863350442627072/g2aBUOZK.jpg","View")</f>
        <v>View</v>
      </c>
    </row>
    <row r="435" spans="1:21" ht="40.799999999999997">
      <c r="A435" s="6">
        <v>43427.507418981477</v>
      </c>
      <c r="B435" s="7" t="str">
        <f>HYPERLINK("https://twitter.com/JuantonioFdez","@JuantonioFdez")</f>
        <v>@JuantonioFdez</v>
      </c>
      <c r="C435" s="8" t="s">
        <v>1963</v>
      </c>
      <c r="D435" s="9" t="s">
        <v>1964</v>
      </c>
      <c r="E435" s="10" t="str">
        <f>HYPERLINK("https://twitter.com/JuantonioFdez/status/1065925598349004801","1065925598349004801")</f>
        <v>1065925598349004801</v>
      </c>
      <c r="F435" s="12"/>
      <c r="G435" s="11" t="s">
        <v>1965</v>
      </c>
      <c r="H435" s="12"/>
      <c r="I435" s="13">
        <v>8</v>
      </c>
      <c r="J435" s="13">
        <v>7</v>
      </c>
      <c r="K435" s="14" t="str">
        <f>HYPERLINK("http://twitter.com/download/android","Twitter for Android")</f>
        <v>Twitter for Android</v>
      </c>
      <c r="L435" s="13">
        <v>1760</v>
      </c>
      <c r="M435" s="13">
        <v>304</v>
      </c>
      <c r="N435" s="13">
        <v>17</v>
      </c>
      <c r="O435" s="15"/>
      <c r="P435" s="6">
        <v>43137.62600694444</v>
      </c>
      <c r="Q435" s="17" t="s">
        <v>1966</v>
      </c>
      <c r="R435" s="18" t="s">
        <v>1967</v>
      </c>
      <c r="S435" s="12"/>
      <c r="T435" s="12"/>
      <c r="U435" s="10" t="str">
        <f>HYPERLINK("https://pbs.twimg.com/profile_images/960882104174247937/XWClbKD8.jpg","View")</f>
        <v>View</v>
      </c>
    </row>
    <row r="436" spans="1:21" ht="40.799999999999997">
      <c r="A436" s="6">
        <v>43427.507384259261</v>
      </c>
      <c r="B436" s="7" t="str">
        <f>HYPERLINK("https://twitter.com/protestona1","@protestona1")</f>
        <v>@protestona1</v>
      </c>
      <c r="C436" s="8" t="s">
        <v>1968</v>
      </c>
      <c r="D436" s="9" t="s">
        <v>1969</v>
      </c>
      <c r="E436" s="10" t="str">
        <f>HYPERLINK("https://twitter.com/protestona1/status/1065925588718927872","1065925588718927872")</f>
        <v>1065925588718927872</v>
      </c>
      <c r="F436" s="12"/>
      <c r="G436" s="12"/>
      <c r="H436" s="12"/>
      <c r="I436" s="13">
        <v>4</v>
      </c>
      <c r="J436" s="13">
        <v>26</v>
      </c>
      <c r="K436" s="14" t="str">
        <f>HYPERLINK("http://twitter.com/download/iphone","Twitter for iPhone")</f>
        <v>Twitter for iPhone</v>
      </c>
      <c r="L436" s="13">
        <v>151542</v>
      </c>
      <c r="M436" s="13">
        <v>2210</v>
      </c>
      <c r="N436" s="13">
        <v>4</v>
      </c>
      <c r="O436" s="15"/>
      <c r="P436" s="6">
        <v>41352.82136574074</v>
      </c>
      <c r="Q436" s="17" t="s">
        <v>870</v>
      </c>
      <c r="R436" s="18" t="s">
        <v>1971</v>
      </c>
      <c r="S436" s="11" t="s">
        <v>1972</v>
      </c>
      <c r="T436" s="12"/>
      <c r="U436" s="10" t="str">
        <f>HYPERLINK("https://pbs.twimg.com/profile_images/1014938895501463552/_oCE6Q1b.jpg","View")</f>
        <v>View</v>
      </c>
    </row>
    <row r="437" spans="1:21" ht="30.6">
      <c r="A437" s="6">
        <v>43427.506840277776</v>
      </c>
      <c r="B437" s="7" t="str">
        <f>HYPERLINK("https://twitter.com/periodicovzlano","@periodicovzlano")</f>
        <v>@periodicovzlano</v>
      </c>
      <c r="C437" s="8" t="s">
        <v>97</v>
      </c>
      <c r="D437" s="9" t="s">
        <v>98</v>
      </c>
      <c r="E437" s="10" t="str">
        <f>HYPERLINK("https://twitter.com/periodicovzlano/status/1065925389229457408","1065925389229457408")</f>
        <v>1065925389229457408</v>
      </c>
      <c r="F437" s="11" t="s">
        <v>99</v>
      </c>
      <c r="G437" s="11" t="s">
        <v>1973</v>
      </c>
      <c r="H437" s="12"/>
      <c r="I437" s="13">
        <v>0</v>
      </c>
      <c r="J437" s="13">
        <v>0</v>
      </c>
      <c r="K437" s="14" t="str">
        <f>HYPERLINK("http://epmundo.com","Tuiteo TOP EP (1)")</f>
        <v>Tuiteo TOP EP (1)</v>
      </c>
      <c r="L437" s="13">
        <v>479592</v>
      </c>
      <c r="M437" s="13">
        <v>359153</v>
      </c>
      <c r="N437" s="13">
        <v>1296</v>
      </c>
      <c r="O437" s="15"/>
      <c r="P437" s="6">
        <v>40663.3512962963</v>
      </c>
      <c r="Q437" s="17" t="s">
        <v>104</v>
      </c>
      <c r="R437" s="18" t="s">
        <v>105</v>
      </c>
      <c r="S437" s="11" t="s">
        <v>106</v>
      </c>
      <c r="T437" s="12"/>
      <c r="U437" s="10" t="str">
        <f>HYPERLINK("https://pbs.twimg.com/profile_images/958328579250638849/MCz7Q8U6.jpg","View")</f>
        <v>View</v>
      </c>
    </row>
    <row r="438" spans="1:21" ht="20.399999999999999">
      <c r="A438" s="6">
        <v>43427.506249999999</v>
      </c>
      <c r="B438" s="7" t="str">
        <f>HYPERLINK("https://twitter.com/sumariumcom","@sumariumcom")</f>
        <v>@sumariumcom</v>
      </c>
      <c r="C438" s="8" t="s">
        <v>1974</v>
      </c>
      <c r="D438" s="9" t="s">
        <v>1975</v>
      </c>
      <c r="E438" s="10" t="str">
        <f>HYPERLINK("https://twitter.com/sumariumcom/status/1065925175231868928","1065925175231868928")</f>
        <v>1065925175231868928</v>
      </c>
      <c r="F438" s="11" t="s">
        <v>1976</v>
      </c>
      <c r="G438" s="11" t="s">
        <v>1977</v>
      </c>
      <c r="H438" s="12"/>
      <c r="I438" s="13">
        <v>1</v>
      </c>
      <c r="J438" s="13">
        <v>1</v>
      </c>
      <c r="K438" s="14" t="str">
        <f>HYPERLINK("https://about.twitter.com/products/tweetdeck","TweetDeck")</f>
        <v>TweetDeck</v>
      </c>
      <c r="L438" s="13">
        <v>164226</v>
      </c>
      <c r="M438" s="13">
        <v>994</v>
      </c>
      <c r="N438" s="13">
        <v>1117</v>
      </c>
      <c r="O438" s="15"/>
      <c r="P438" s="6">
        <v>40977.809594907405</v>
      </c>
      <c r="Q438" s="17" t="s">
        <v>1978</v>
      </c>
      <c r="R438" s="19"/>
      <c r="S438" s="11" t="s">
        <v>1979</v>
      </c>
      <c r="T438" s="12"/>
      <c r="U438" s="10" t="str">
        <f>HYPERLINK("https://pbs.twimg.com/profile_images/1061987847874469888/mok5IDTt.jpg","View")</f>
        <v>View</v>
      </c>
    </row>
    <row r="439" spans="1:21" ht="40.799999999999997">
      <c r="A439" s="6">
        <v>43427.505995370375</v>
      </c>
      <c r="B439" s="7" t="str">
        <f>HYPERLINK("https://twitter.com/AdLLIN61","@AdLLIN61")</f>
        <v>@AdLLIN61</v>
      </c>
      <c r="C439" s="8" t="s">
        <v>1980</v>
      </c>
      <c r="D439" s="9" t="s">
        <v>1981</v>
      </c>
      <c r="E439" s="10" t="str">
        <f>HYPERLINK("https://twitter.com/AdLLIN61/status/1065925085587021825","1065925085587021825")</f>
        <v>1065925085587021825</v>
      </c>
      <c r="F439" s="11" t="s">
        <v>707</v>
      </c>
      <c r="G439" s="12"/>
      <c r="H439" s="12"/>
      <c r="I439" s="13">
        <v>0</v>
      </c>
      <c r="J439" s="13">
        <v>0</v>
      </c>
      <c r="K439" s="14" t="str">
        <f>HYPERLINK("http://www.facebook.com/twitter","Facebook")</f>
        <v>Facebook</v>
      </c>
      <c r="L439" s="13">
        <v>542</v>
      </c>
      <c r="M439" s="13">
        <v>1483</v>
      </c>
      <c r="N439" s="13">
        <v>23</v>
      </c>
      <c r="O439" s="15"/>
      <c r="P439" s="6">
        <v>40213.955497685187</v>
      </c>
      <c r="Q439" s="17" t="s">
        <v>1982</v>
      </c>
      <c r="R439" s="18" t="s">
        <v>1983</v>
      </c>
      <c r="S439" s="11" t="s">
        <v>1984</v>
      </c>
      <c r="T439" s="12"/>
      <c r="U439" s="10" t="str">
        <f>HYPERLINK("https://pbs.twimg.com/profile_images/1061736532871204866/pyBV2wj8.jpg","View")</f>
        <v>View</v>
      </c>
    </row>
    <row r="440" spans="1:21" ht="40.799999999999997">
      <c r="A440" s="6">
        <v>43427.505648148144</v>
      </c>
      <c r="B440" s="7" t="str">
        <f>HYPERLINK("https://twitter.com/jatirado","@jatirado")</f>
        <v>@jatirado</v>
      </c>
      <c r="C440" s="8" t="s">
        <v>1985</v>
      </c>
      <c r="D440" s="9" t="s">
        <v>991</v>
      </c>
      <c r="E440" s="10" t="str">
        <f>HYPERLINK("https://twitter.com/jatirado/status/1065924958725926917","1065924958725926917")</f>
        <v>1065924958725926917</v>
      </c>
      <c r="F440" s="11" t="s">
        <v>1986</v>
      </c>
      <c r="G440" s="11" t="s">
        <v>1987</v>
      </c>
      <c r="H440" s="12"/>
      <c r="I440" s="13">
        <v>3</v>
      </c>
      <c r="J440" s="13">
        <v>1</v>
      </c>
      <c r="K440" s="14" t="str">
        <f>HYPERLINK("https://dlvrit.com/","dlvr.it")</f>
        <v>dlvr.it</v>
      </c>
      <c r="L440" s="13">
        <v>81726</v>
      </c>
      <c r="M440" s="13">
        <v>54342</v>
      </c>
      <c r="N440" s="13">
        <v>1027</v>
      </c>
      <c r="O440" s="15"/>
      <c r="P440" s="6">
        <v>40353.552581018521</v>
      </c>
      <c r="Q440" s="17" t="s">
        <v>72</v>
      </c>
      <c r="R440" s="18" t="s">
        <v>1988</v>
      </c>
      <c r="S440" s="11" t="s">
        <v>1989</v>
      </c>
      <c r="T440" s="12"/>
      <c r="U440" s="10" t="str">
        <f>HYPERLINK("https://pbs.twimg.com/profile_images/485680559742791680/dg68o8vH.jpeg","View")</f>
        <v>View</v>
      </c>
    </row>
    <row r="441" spans="1:21" ht="30.6">
      <c r="A441" s="6">
        <v>43427.505277777775</v>
      </c>
      <c r="B441" s="7" t="str">
        <f>HYPERLINK("https://twitter.com/BardisaIsmael","@BardisaIsmael")</f>
        <v>@BardisaIsmael</v>
      </c>
      <c r="C441" s="8" t="s">
        <v>1990</v>
      </c>
      <c r="D441" s="9" t="s">
        <v>1991</v>
      </c>
      <c r="E441" s="10" t="str">
        <f>HYPERLINK("https://twitter.com/BardisaIsmael/status/1065924824898383872","1065924824898383872")</f>
        <v>1065924824898383872</v>
      </c>
      <c r="F441" s="11" t="s">
        <v>1116</v>
      </c>
      <c r="G441" s="12"/>
      <c r="H441" s="12"/>
      <c r="I441" s="13">
        <v>38</v>
      </c>
      <c r="J441" s="13">
        <v>29</v>
      </c>
      <c r="K441" s="14" t="str">
        <f>HYPERLINK("http://twitter.com/download/iphone","Twitter for iPhone")</f>
        <v>Twitter for iPhone</v>
      </c>
      <c r="L441" s="13">
        <v>32811</v>
      </c>
      <c r="M441" s="13">
        <v>12235</v>
      </c>
      <c r="N441" s="13">
        <v>158</v>
      </c>
      <c r="O441" s="15"/>
      <c r="P441" s="6">
        <v>40964.858877314815</v>
      </c>
      <c r="Q441" s="12"/>
      <c r="R441" s="18" t="s">
        <v>1992</v>
      </c>
      <c r="S441" s="12"/>
      <c r="T441" s="12"/>
      <c r="U441" s="10" t="str">
        <f>HYPERLINK("https://pbs.twimg.com/profile_images/670004555346759680/qgerBvXB.jpg","View")</f>
        <v>View</v>
      </c>
    </row>
    <row r="442" spans="1:21" ht="40.799999999999997">
      <c r="A442" s="6">
        <v>43427.504907407405</v>
      </c>
      <c r="B442" s="7" t="str">
        <f>HYPERLINK("https://twitter.com/zoskito","@zoskito")</f>
        <v>@zoskito</v>
      </c>
      <c r="C442" s="8" t="s">
        <v>1993</v>
      </c>
      <c r="D442" s="9" t="s">
        <v>1994</v>
      </c>
      <c r="E442" s="10" t="str">
        <f>HYPERLINK("https://twitter.com/zoskito/status/1065924689569161216","1065924689569161216")</f>
        <v>1065924689569161216</v>
      </c>
      <c r="F442" s="11" t="s">
        <v>1995</v>
      </c>
      <c r="G442" s="12"/>
      <c r="H442" s="12"/>
      <c r="I442" s="13">
        <v>0</v>
      </c>
      <c r="J442" s="13">
        <v>0</v>
      </c>
      <c r="K442" s="14" t="str">
        <f>HYPERLINK("http://twitter.com/download/android","Twitter for Android")</f>
        <v>Twitter for Android</v>
      </c>
      <c r="L442" s="13">
        <v>4185</v>
      </c>
      <c r="M442" s="13">
        <v>3553</v>
      </c>
      <c r="N442" s="13">
        <v>68</v>
      </c>
      <c r="O442" s="15"/>
      <c r="P442" s="6">
        <v>40738.472291666665</v>
      </c>
      <c r="Q442" s="17" t="s">
        <v>72</v>
      </c>
      <c r="R442" s="18" t="s">
        <v>1996</v>
      </c>
      <c r="S442" s="11" t="s">
        <v>1997</v>
      </c>
      <c r="T442" s="12"/>
      <c r="U442" s="10" t="str">
        <f>HYPERLINK("https://pbs.twimg.com/profile_images/890217976607244292/8-rrhduX.jpg","View")</f>
        <v>View</v>
      </c>
    </row>
    <row r="443" spans="1:21" ht="40.799999999999997">
      <c r="A443" s="6">
        <v>43427.504398148143</v>
      </c>
      <c r="B443" s="7" t="str">
        <f>HYPERLINK("https://twitter.com/jgarcia_ed","@jgarcia_ed")</f>
        <v>@jgarcia_ed</v>
      </c>
      <c r="C443" s="8" t="s">
        <v>1998</v>
      </c>
      <c r="D443" s="9" t="s">
        <v>1999</v>
      </c>
      <c r="E443" s="10" t="str">
        <f>HYPERLINK("https://twitter.com/jgarcia_ed/status/1065924506315890689","1065924506315890689")</f>
        <v>1065924506315890689</v>
      </c>
      <c r="F443" s="11" t="s">
        <v>207</v>
      </c>
      <c r="G443" s="12"/>
      <c r="H443" s="12"/>
      <c r="I443" s="13">
        <v>1</v>
      </c>
      <c r="J443" s="13">
        <v>0</v>
      </c>
      <c r="K443" s="14" t="str">
        <f>HYPERLINK("http://twitter.com/download/iphone","Twitter for iPhone")</f>
        <v>Twitter for iPhone</v>
      </c>
      <c r="L443" s="13">
        <v>1301</v>
      </c>
      <c r="M443" s="13">
        <v>600</v>
      </c>
      <c r="N443" s="13">
        <v>68</v>
      </c>
      <c r="O443" s="15"/>
      <c r="P443" s="6">
        <v>40477.729525462964</v>
      </c>
      <c r="Q443" s="17" t="s">
        <v>191</v>
      </c>
      <c r="R443" s="18" t="s">
        <v>2000</v>
      </c>
      <c r="S443" s="11" t="s">
        <v>2001</v>
      </c>
      <c r="T443" s="12"/>
      <c r="U443" s="10" t="str">
        <f>HYPERLINK("https://pbs.twimg.com/profile_images/977488441415012352/o30wdpto.jpg","View")</f>
        <v>View</v>
      </c>
    </row>
    <row r="444" spans="1:21" ht="40.799999999999997">
      <c r="A444" s="6">
        <v>43427.503668981481</v>
      </c>
      <c r="B444" s="7" t="str">
        <f>HYPERLINK("https://twitter.com/Avia__Maria","@Avia__Maria")</f>
        <v>@Avia__Maria</v>
      </c>
      <c r="C444" s="8" t="s">
        <v>2002</v>
      </c>
      <c r="D444" s="9" t="s">
        <v>2003</v>
      </c>
      <c r="E444" s="10" t="str">
        <f>HYPERLINK("https://twitter.com/Avia__Maria/status/1065924241130967041","1065924241130967041")</f>
        <v>1065924241130967041</v>
      </c>
      <c r="F444" s="12"/>
      <c r="G444" s="12"/>
      <c r="H444" s="12"/>
      <c r="I444" s="13">
        <v>15</v>
      </c>
      <c r="J444" s="13">
        <v>82</v>
      </c>
      <c r="K444" s="14" t="str">
        <f t="shared" ref="K444:K446" si="75">HYPERLINK("http://twitter.com/download/android","Twitter for Android")</f>
        <v>Twitter for Android</v>
      </c>
      <c r="L444" s="13">
        <v>11724</v>
      </c>
      <c r="M444" s="13">
        <v>6225</v>
      </c>
      <c r="N444" s="13">
        <v>15</v>
      </c>
      <c r="O444" s="15"/>
      <c r="P444" s="6">
        <v>43260.579409722224</v>
      </c>
      <c r="Q444" s="12"/>
      <c r="R444" s="18" t="s">
        <v>2004</v>
      </c>
      <c r="S444" s="12"/>
      <c r="T444" s="12"/>
      <c r="U444" s="10" t="str">
        <f>HYPERLINK("https://pbs.twimg.com/profile_images/1063206969115324421/8rAyiaUa.jpg","View")</f>
        <v>View</v>
      </c>
    </row>
    <row r="445" spans="1:21" ht="51">
      <c r="A445" s="6">
        <v>43427.503611111111</v>
      </c>
      <c r="B445" s="7" t="str">
        <f>HYPERLINK("https://twitter.com/culebra1978","@culebra1978")</f>
        <v>@culebra1978</v>
      </c>
      <c r="C445" s="8" t="s">
        <v>2005</v>
      </c>
      <c r="D445" s="9" t="s">
        <v>2006</v>
      </c>
      <c r="E445" s="10" t="str">
        <f>HYPERLINK("https://twitter.com/culebra1978/status/1065924219198951425","1065924219198951425")</f>
        <v>1065924219198951425</v>
      </c>
      <c r="F445" s="12"/>
      <c r="G445" s="12"/>
      <c r="H445" s="12"/>
      <c r="I445" s="13">
        <v>19</v>
      </c>
      <c r="J445" s="13">
        <v>40</v>
      </c>
      <c r="K445" s="14" t="str">
        <f t="shared" si="75"/>
        <v>Twitter for Android</v>
      </c>
      <c r="L445" s="13">
        <v>6577</v>
      </c>
      <c r="M445" s="13">
        <v>5318</v>
      </c>
      <c r="N445" s="13">
        <v>9</v>
      </c>
      <c r="O445" s="15"/>
      <c r="P445" s="6">
        <v>41008.866574074076</v>
      </c>
      <c r="Q445" s="17" t="s">
        <v>2007</v>
      </c>
      <c r="R445" s="18" t="s">
        <v>2008</v>
      </c>
      <c r="S445" s="12"/>
      <c r="T445" s="12"/>
      <c r="U445" s="10" t="str">
        <f>HYPERLINK("https://pbs.twimg.com/profile_images/1042005741668900866/Z6LFT-O8.jpg","View")</f>
        <v>View</v>
      </c>
    </row>
    <row r="446" spans="1:21" ht="51">
      <c r="A446" s="6">
        <v>43427.503541666665</v>
      </c>
      <c r="B446" s="7" t="str">
        <f>HYPERLINK("https://twitter.com/JoseLui43872588","@JoseLui43872588")</f>
        <v>@JoseLui43872588</v>
      </c>
      <c r="C446" s="8" t="s">
        <v>1947</v>
      </c>
      <c r="D446" s="9" t="s">
        <v>2010</v>
      </c>
      <c r="E446" s="10" t="str">
        <f>HYPERLINK("https://twitter.com/JoseLui43872588/status/1065924195912167426","1065924195912167426")</f>
        <v>1065924195912167426</v>
      </c>
      <c r="F446" s="12"/>
      <c r="G446" s="12"/>
      <c r="H446" s="12"/>
      <c r="I446" s="13">
        <v>1</v>
      </c>
      <c r="J446" s="13">
        <v>0</v>
      </c>
      <c r="K446" s="14" t="str">
        <f t="shared" si="75"/>
        <v>Twitter for Android</v>
      </c>
      <c r="L446" s="13">
        <v>512</v>
      </c>
      <c r="M446" s="13">
        <v>128</v>
      </c>
      <c r="N446" s="13">
        <v>7</v>
      </c>
      <c r="O446" s="15"/>
      <c r="P446" s="6">
        <v>42705.999224537038</v>
      </c>
      <c r="Q446" s="17" t="s">
        <v>810</v>
      </c>
      <c r="R446" s="18" t="s">
        <v>1949</v>
      </c>
      <c r="S446" s="12"/>
      <c r="T446" s="12"/>
      <c r="U446" s="10" t="str">
        <f>HYPERLINK("https://pbs.twimg.com/profile_images/1009872713064820737/I4zrX8RR.jpg","View")</f>
        <v>View</v>
      </c>
    </row>
    <row r="447" spans="1:21" ht="20.399999999999999">
      <c r="A447" s="6">
        <v>43427.503541666665</v>
      </c>
      <c r="B447" s="7" t="str">
        <f>HYPERLINK("https://twitter.com/EPNacional","@EPNacional")</f>
        <v>@EPNacional</v>
      </c>
      <c r="C447" s="8" t="s">
        <v>133</v>
      </c>
      <c r="D447" s="9" t="s">
        <v>307</v>
      </c>
      <c r="E447" s="10" t="str">
        <f>HYPERLINK("https://twitter.com/EPNacional/status/1065924193307496448","1065924193307496448")</f>
        <v>1065924193307496448</v>
      </c>
      <c r="F447" s="11" t="s">
        <v>310</v>
      </c>
      <c r="G447" s="12"/>
      <c r="H447" s="12"/>
      <c r="I447" s="13">
        <v>1</v>
      </c>
      <c r="J447" s="13">
        <v>0</v>
      </c>
      <c r="K447" s="14" t="str">
        <f>HYPERLINK("https://about.twitter.com/products/tweetdeck","TweetDeck")</f>
        <v>TweetDeck</v>
      </c>
      <c r="L447" s="13">
        <v>10739</v>
      </c>
      <c r="M447" s="13">
        <v>128</v>
      </c>
      <c r="N447" s="13">
        <v>240</v>
      </c>
      <c r="O447" s="16" t="s">
        <v>26</v>
      </c>
      <c r="P447" s="6">
        <v>41708.447858796295</v>
      </c>
      <c r="Q447" s="12"/>
      <c r="R447" s="18" t="s">
        <v>137</v>
      </c>
      <c r="S447" s="11" t="s">
        <v>138</v>
      </c>
      <c r="T447" s="12"/>
      <c r="U447" s="10" t="str">
        <f>HYPERLINK("https://pbs.twimg.com/profile_images/877113547158847488/eIlueLsb.jpg","View")</f>
        <v>View</v>
      </c>
    </row>
    <row r="448" spans="1:21" ht="81.599999999999994">
      <c r="A448" s="6">
        <v>43427.502835648149</v>
      </c>
      <c r="B448" s="7" t="str">
        <f>HYPERLINK("https://twitter.com/MIQUELLARA","@MIQUELLARA")</f>
        <v>@MIQUELLARA</v>
      </c>
      <c r="C448" s="8" t="s">
        <v>2011</v>
      </c>
      <c r="D448" s="9" t="s">
        <v>2012</v>
      </c>
      <c r="E448" s="10" t="str">
        <f>HYPERLINK("https://twitter.com/MIQUELLARA/status/1065923940265144320","1065923940265144320")</f>
        <v>1065923940265144320</v>
      </c>
      <c r="F448" s="17" t="s">
        <v>2013</v>
      </c>
      <c r="G448" s="11" t="s">
        <v>2014</v>
      </c>
      <c r="H448" s="12"/>
      <c r="I448" s="13">
        <v>0</v>
      </c>
      <c r="J448" s="13">
        <v>1</v>
      </c>
      <c r="K448" s="14" t="str">
        <f>HYPERLINK("http://twitter.com","Twitter Web Client")</f>
        <v>Twitter Web Client</v>
      </c>
      <c r="L448" s="13">
        <v>10206</v>
      </c>
      <c r="M448" s="13">
        <v>11223</v>
      </c>
      <c r="N448" s="13">
        <v>151</v>
      </c>
      <c r="O448" s="15"/>
      <c r="P448" s="6">
        <v>40216.813333333332</v>
      </c>
      <c r="Q448" s="17" t="s">
        <v>2015</v>
      </c>
      <c r="R448" s="18" t="s">
        <v>2016</v>
      </c>
      <c r="S448" s="12"/>
      <c r="T448" s="12"/>
      <c r="U448" s="10" t="str">
        <f>HYPERLINK("https://pbs.twimg.com/profile_images/926548072229953536/8Ehr2KOx.jpg","View")</f>
        <v>View</v>
      </c>
    </row>
    <row r="449" spans="1:21" ht="30.6">
      <c r="A449" s="6">
        <v>43427.50267361111</v>
      </c>
      <c r="B449" s="7" t="str">
        <f>HYPERLINK("https://twitter.com/Alfacebook64","@Alfacebook64")</f>
        <v>@Alfacebook64</v>
      </c>
      <c r="C449" s="8" t="s">
        <v>2017</v>
      </c>
      <c r="D449" s="9" t="s">
        <v>287</v>
      </c>
      <c r="E449" s="10" t="str">
        <f>HYPERLINK("https://twitter.com/Alfacebook64/status/1065923880886435844","1065923880886435844")</f>
        <v>1065923880886435844</v>
      </c>
      <c r="F449" s="11" t="s">
        <v>2018</v>
      </c>
      <c r="G449" s="12"/>
      <c r="H449" s="12"/>
      <c r="I449" s="13">
        <v>2</v>
      </c>
      <c r="J449" s="13">
        <v>0</v>
      </c>
      <c r="K449" s="14" t="str">
        <f>HYPERLINK("http://twitter.com/#!/download/ipad","Twitter for iPad")</f>
        <v>Twitter for iPad</v>
      </c>
      <c r="L449" s="13">
        <v>4225</v>
      </c>
      <c r="M449" s="13">
        <v>3499</v>
      </c>
      <c r="N449" s="13">
        <v>39</v>
      </c>
      <c r="O449" s="15"/>
      <c r="P449" s="6">
        <v>42189.951504629629</v>
      </c>
      <c r="Q449" s="17" t="s">
        <v>2019</v>
      </c>
      <c r="R449" s="18" t="s">
        <v>2020</v>
      </c>
      <c r="S449" s="12"/>
      <c r="T449" s="12"/>
      <c r="U449" s="10" t="str">
        <f>HYPERLINK("https://pbs.twimg.com/profile_images/636562609811099648/TOG_sQjr.jpg","View")</f>
        <v>View</v>
      </c>
    </row>
    <row r="450" spans="1:21" ht="51">
      <c r="A450" s="6">
        <v>43427.501817129625</v>
      </c>
      <c r="B450" s="7" t="str">
        <f>HYPERLINK("https://twitter.com/energiadiario","@energiadiario")</f>
        <v>@energiadiario</v>
      </c>
      <c r="C450" s="8" t="s">
        <v>2021</v>
      </c>
      <c r="D450" s="9" t="s">
        <v>2022</v>
      </c>
      <c r="E450" s="10" t="str">
        <f>HYPERLINK("https://twitter.com/energiadiario/status/1065923570130395136","1065923570130395136")</f>
        <v>1065923570130395136</v>
      </c>
      <c r="F450" s="11" t="s">
        <v>2023</v>
      </c>
      <c r="G450" s="12"/>
      <c r="H450" s="12"/>
      <c r="I450" s="13">
        <v>0</v>
      </c>
      <c r="J450" s="13">
        <v>0</v>
      </c>
      <c r="K450" s="14" t="str">
        <f>HYPERLINK("http://twitter.com","Twitter Web Client")</f>
        <v>Twitter Web Client</v>
      </c>
      <c r="L450" s="13">
        <v>3349</v>
      </c>
      <c r="M450" s="13">
        <v>1061</v>
      </c>
      <c r="N450" s="13">
        <v>161</v>
      </c>
      <c r="O450" s="15"/>
      <c r="P450" s="6">
        <v>40057.487824074073</v>
      </c>
      <c r="Q450" s="17" t="s">
        <v>72</v>
      </c>
      <c r="R450" s="19"/>
      <c r="S450" s="11" t="s">
        <v>2024</v>
      </c>
      <c r="T450" s="12"/>
      <c r="U450" s="10" t="str">
        <f>HYPERLINK("https://pbs.twimg.com/profile_images/3396279332/65d8ff9b5a0819f78f0a9c405d677d8e.jpeg","View")</f>
        <v>View</v>
      </c>
    </row>
    <row r="451" spans="1:21" ht="20.399999999999999">
      <c r="A451" s="6">
        <v>43427.501736111109</v>
      </c>
      <c r="B451" s="7" t="str">
        <f t="shared" ref="B451:B452" si="76">HYPERLINK("https://twitter.com/Alfacebook64","@Alfacebook64")</f>
        <v>@Alfacebook64</v>
      </c>
      <c r="C451" s="8" t="s">
        <v>2017</v>
      </c>
      <c r="D451" s="9" t="s">
        <v>2025</v>
      </c>
      <c r="E451" s="10" t="str">
        <f>HYPERLINK("https://twitter.com/Alfacebook64/status/1065923538782224384","1065923538782224384")</f>
        <v>1065923538782224384</v>
      </c>
      <c r="F451" s="11" t="s">
        <v>2026</v>
      </c>
      <c r="G451" s="12"/>
      <c r="H451" s="12"/>
      <c r="I451" s="13">
        <v>0</v>
      </c>
      <c r="J451" s="13">
        <v>0</v>
      </c>
      <c r="K451" s="14" t="str">
        <f t="shared" ref="K451:K452" si="77">HYPERLINK("http://twitter.com/#!/download/ipad","Twitter for iPad")</f>
        <v>Twitter for iPad</v>
      </c>
      <c r="L451" s="13">
        <v>4225</v>
      </c>
      <c r="M451" s="13">
        <v>3499</v>
      </c>
      <c r="N451" s="13">
        <v>39</v>
      </c>
      <c r="O451" s="15"/>
      <c r="P451" s="6">
        <v>42189.951504629629</v>
      </c>
      <c r="Q451" s="17" t="s">
        <v>2019</v>
      </c>
      <c r="R451" s="18" t="s">
        <v>2020</v>
      </c>
      <c r="S451" s="12"/>
      <c r="T451" s="12"/>
      <c r="U451" s="10" t="str">
        <f t="shared" ref="U451:U452" si="78">HYPERLINK("https://pbs.twimg.com/profile_images/636562609811099648/TOG_sQjr.jpg","View")</f>
        <v>View</v>
      </c>
    </row>
    <row r="452" spans="1:21" ht="20.399999999999999">
      <c r="A452" s="6">
        <v>43427.501423611116</v>
      </c>
      <c r="B452" s="7" t="str">
        <f t="shared" si="76"/>
        <v>@Alfacebook64</v>
      </c>
      <c r="C452" s="8" t="s">
        <v>2017</v>
      </c>
      <c r="D452" s="9" t="s">
        <v>1937</v>
      </c>
      <c r="E452" s="10" t="str">
        <f>HYPERLINK("https://twitter.com/Alfacebook64/status/1065923425649205251","1065923425649205251")</f>
        <v>1065923425649205251</v>
      </c>
      <c r="F452" s="11" t="s">
        <v>1493</v>
      </c>
      <c r="G452" s="12"/>
      <c r="H452" s="12"/>
      <c r="I452" s="13">
        <v>0</v>
      </c>
      <c r="J452" s="13">
        <v>0</v>
      </c>
      <c r="K452" s="14" t="str">
        <f t="shared" si="77"/>
        <v>Twitter for iPad</v>
      </c>
      <c r="L452" s="13">
        <v>4225</v>
      </c>
      <c r="M452" s="13">
        <v>3499</v>
      </c>
      <c r="N452" s="13">
        <v>39</v>
      </c>
      <c r="O452" s="15"/>
      <c r="P452" s="6">
        <v>42189.951504629629</v>
      </c>
      <c r="Q452" s="17" t="s">
        <v>2019</v>
      </c>
      <c r="R452" s="18" t="s">
        <v>2020</v>
      </c>
      <c r="S452" s="12"/>
      <c r="T452" s="12"/>
      <c r="U452" s="10" t="str">
        <f t="shared" si="78"/>
        <v>View</v>
      </c>
    </row>
    <row r="453" spans="1:21" ht="51">
      <c r="A453" s="6">
        <v>43427.500555555554</v>
      </c>
      <c r="B453" s="7" t="str">
        <f>HYPERLINK("https://twitter.com/eldiariomurcia","@eldiariomurcia")</f>
        <v>@eldiariomurcia</v>
      </c>
      <c r="C453" s="8" t="s">
        <v>2027</v>
      </c>
      <c r="D453" s="9" t="s">
        <v>2028</v>
      </c>
      <c r="E453" s="10" t="str">
        <f>HYPERLINK("https://twitter.com/eldiariomurcia/status/1065923114264129536","1065923114264129536")</f>
        <v>1065923114264129536</v>
      </c>
      <c r="F453" s="11" t="s">
        <v>2029</v>
      </c>
      <c r="G453" s="12"/>
      <c r="H453" s="12"/>
      <c r="I453" s="13">
        <v>0</v>
      </c>
      <c r="J453" s="13">
        <v>0</v>
      </c>
      <c r="K453" s="14" t="str">
        <f>HYPERLINK("https://www.hootsuite.com","Hootsuite Inc.")</f>
        <v>Hootsuite Inc.</v>
      </c>
      <c r="L453" s="13">
        <v>6956</v>
      </c>
      <c r="M453" s="13">
        <v>2166</v>
      </c>
      <c r="N453" s="13">
        <v>152</v>
      </c>
      <c r="O453" s="15"/>
      <c r="P453" s="6">
        <v>41907.596539351856</v>
      </c>
      <c r="Q453" s="17" t="s">
        <v>2030</v>
      </c>
      <c r="R453" s="18" t="s">
        <v>2031</v>
      </c>
      <c r="S453" s="11" t="s">
        <v>2032</v>
      </c>
      <c r="T453" s="12"/>
      <c r="U453" s="10" t="str">
        <f>HYPERLINK("https://pbs.twimg.com/profile_images/972423446188699648/DsZx-3Jc.jpg","View")</f>
        <v>View</v>
      </c>
    </row>
    <row r="454" spans="1:21" ht="20.399999999999999">
      <c r="A454" s="6">
        <v>43427.500300925924</v>
      </c>
      <c r="B454" s="7" t="str">
        <f>HYPERLINK("https://twitter.com/EPAndalucia","@EPAndalucia")</f>
        <v>@EPAndalucia</v>
      </c>
      <c r="C454" s="8" t="s">
        <v>1028</v>
      </c>
      <c r="D454" s="9" t="s">
        <v>991</v>
      </c>
      <c r="E454" s="10" t="str">
        <f>HYPERLINK("https://twitter.com/EPAndalucia/status/1065923019980312577","1065923019980312577")</f>
        <v>1065923019980312577</v>
      </c>
      <c r="F454" s="11" t="s">
        <v>310</v>
      </c>
      <c r="G454" s="12"/>
      <c r="H454" s="12"/>
      <c r="I454" s="13">
        <v>0</v>
      </c>
      <c r="J454" s="13">
        <v>0</v>
      </c>
      <c r="K454" s="14" t="str">
        <f>HYPERLINK("http://www.europapress.es/andalucia","Twitter editor Andalucia")</f>
        <v>Twitter editor Andalucia</v>
      </c>
      <c r="L454" s="13">
        <v>37381</v>
      </c>
      <c r="M454" s="13">
        <v>1177</v>
      </c>
      <c r="N454" s="13">
        <v>855</v>
      </c>
      <c r="O454" s="15"/>
      <c r="P454" s="6">
        <v>40540.744988425926</v>
      </c>
      <c r="Q454" s="17" t="s">
        <v>1031</v>
      </c>
      <c r="R454" s="18" t="s">
        <v>1032</v>
      </c>
      <c r="S454" s="11" t="s">
        <v>1033</v>
      </c>
      <c r="T454" s="12"/>
      <c r="U454" s="10" t="str">
        <f>HYPERLINK("https://pbs.twimg.com/profile_images/876784913466503168/u7k3N7mS.jpg","View")</f>
        <v>View</v>
      </c>
    </row>
    <row r="455" spans="1:21" ht="51">
      <c r="A455" s="6">
        <v>43427.500196759254</v>
      </c>
      <c r="B455" s="7" t="str">
        <f>HYPERLINK("https://twitter.com/esglobal_org","@esglobal_org")</f>
        <v>@esglobal_org</v>
      </c>
      <c r="C455" s="8" t="s">
        <v>2033</v>
      </c>
      <c r="D455" s="9" t="s">
        <v>2034</v>
      </c>
      <c r="E455" s="10" t="str">
        <f>HYPERLINK("https://twitter.com/esglobal_org/status/1065922981254307840","1065922981254307840")</f>
        <v>1065922981254307840</v>
      </c>
      <c r="F455" s="11" t="s">
        <v>2035</v>
      </c>
      <c r="G455" s="12"/>
      <c r="H455" s="12"/>
      <c r="I455" s="13">
        <v>2</v>
      </c>
      <c r="J455" s="13">
        <v>0</v>
      </c>
      <c r="K455" s="14" t="str">
        <f>HYPERLINK("https://www.hootsuite.com","Hootsuite Inc.")</f>
        <v>Hootsuite Inc.</v>
      </c>
      <c r="L455" s="13">
        <v>16660</v>
      </c>
      <c r="M455" s="13">
        <v>2177</v>
      </c>
      <c r="N455" s="13">
        <v>772</v>
      </c>
      <c r="O455" s="15"/>
      <c r="P455" s="6">
        <v>39997.676307870366</v>
      </c>
      <c r="Q455" s="17" t="s">
        <v>72</v>
      </c>
      <c r="R455" s="18" t="s">
        <v>2036</v>
      </c>
      <c r="S455" s="11" t="s">
        <v>2037</v>
      </c>
      <c r="T455" s="12"/>
      <c r="U455" s="10" t="str">
        <f>HYPERLINK("https://pbs.twimg.com/profile_images/862306636123262976/ABOneJMg.jpg","View")</f>
        <v>View</v>
      </c>
    </row>
    <row r="456" spans="1:21" ht="40.799999999999997">
      <c r="A456" s="6">
        <v>43427.500057870369</v>
      </c>
      <c r="B456" s="7" t="str">
        <f t="shared" ref="B456:B457" si="79">HYPERLINK("https://twitter.com/xalomonte","@xalomonte")</f>
        <v>@xalomonte</v>
      </c>
      <c r="C456" s="8" t="s">
        <v>1936</v>
      </c>
      <c r="D456" s="9" t="s">
        <v>287</v>
      </c>
      <c r="E456" s="10" t="str">
        <f>HYPERLINK("https://twitter.com/xalomonte/status/1065922932327751680","1065922932327751680")</f>
        <v>1065922932327751680</v>
      </c>
      <c r="F456" s="11" t="s">
        <v>2038</v>
      </c>
      <c r="G456" s="12"/>
      <c r="H456" s="12"/>
      <c r="I456" s="13">
        <v>0</v>
      </c>
      <c r="J456" s="13">
        <v>0</v>
      </c>
      <c r="K456" s="14" t="str">
        <f t="shared" ref="K456:K458" si="80">HYPERLINK("http://twitter.com","Twitter Web Client")</f>
        <v>Twitter Web Client</v>
      </c>
      <c r="L456" s="13">
        <v>2147</v>
      </c>
      <c r="M456" s="13">
        <v>2024</v>
      </c>
      <c r="N456" s="13">
        <v>34</v>
      </c>
      <c r="O456" s="15"/>
      <c r="P456" s="6">
        <v>40394.780034722222</v>
      </c>
      <c r="Q456" s="17" t="s">
        <v>1939</v>
      </c>
      <c r="R456" s="18" t="s">
        <v>1940</v>
      </c>
      <c r="S456" s="11" t="s">
        <v>1941</v>
      </c>
      <c r="T456" s="12"/>
      <c r="U456" s="10" t="str">
        <f t="shared" ref="U456:U457" si="81">HYPERLINK("https://pbs.twimg.com/profile_images/497008794157608960/BSVZbeaB.jpeg","View")</f>
        <v>View</v>
      </c>
    </row>
    <row r="457" spans="1:21" ht="40.799999999999997">
      <c r="A457" s="6">
        <v>43427.499409722222</v>
      </c>
      <c r="B457" s="7" t="str">
        <f t="shared" si="79"/>
        <v>@xalomonte</v>
      </c>
      <c r="C457" s="8" t="s">
        <v>1936</v>
      </c>
      <c r="D457" s="9" t="s">
        <v>2039</v>
      </c>
      <c r="E457" s="10" t="str">
        <f>HYPERLINK("https://twitter.com/xalomonte/status/1065922696943419392","1065922696943419392")</f>
        <v>1065922696943419392</v>
      </c>
      <c r="F457" s="11" t="s">
        <v>2040</v>
      </c>
      <c r="G457" s="12"/>
      <c r="H457" s="12"/>
      <c r="I457" s="13">
        <v>0</v>
      </c>
      <c r="J457" s="13">
        <v>0</v>
      </c>
      <c r="K457" s="14" t="str">
        <f t="shared" si="80"/>
        <v>Twitter Web Client</v>
      </c>
      <c r="L457" s="13">
        <v>2147</v>
      </c>
      <c r="M457" s="13">
        <v>2024</v>
      </c>
      <c r="N457" s="13">
        <v>34</v>
      </c>
      <c r="O457" s="15"/>
      <c r="P457" s="6">
        <v>40394.780034722222</v>
      </c>
      <c r="Q457" s="17" t="s">
        <v>1939</v>
      </c>
      <c r="R457" s="18" t="s">
        <v>1940</v>
      </c>
      <c r="S457" s="11" t="s">
        <v>1941</v>
      </c>
      <c r="T457" s="12"/>
      <c r="U457" s="10" t="str">
        <f t="shared" si="81"/>
        <v>View</v>
      </c>
    </row>
    <row r="458" spans="1:21" ht="40.799999999999997">
      <c r="A458" s="6">
        <v>43427.499386574069</v>
      </c>
      <c r="B458" s="7" t="str">
        <f>HYPERLINK("https://twitter.com/Abierto_PP","@Abierto_PP")</f>
        <v>@Abierto_PP</v>
      </c>
      <c r="C458" s="8" t="s">
        <v>2041</v>
      </c>
      <c r="D458" s="9" t="s">
        <v>2042</v>
      </c>
      <c r="E458" s="10" t="str">
        <f>HYPERLINK("https://twitter.com/Abierto_PP/status/1065922687543984128","1065922687543984128")</f>
        <v>1065922687543984128</v>
      </c>
      <c r="F458" s="12"/>
      <c r="G458" s="11" t="s">
        <v>2043</v>
      </c>
      <c r="H458" s="12"/>
      <c r="I458" s="13">
        <v>1</v>
      </c>
      <c r="J458" s="13">
        <v>1</v>
      </c>
      <c r="K458" s="14" t="str">
        <f t="shared" si="80"/>
        <v>Twitter Web Client</v>
      </c>
      <c r="L458" s="13">
        <v>512</v>
      </c>
      <c r="M458" s="13">
        <v>1107</v>
      </c>
      <c r="N458" s="13">
        <v>2</v>
      </c>
      <c r="O458" s="15"/>
      <c r="P458" s="6">
        <v>43275.910474537042</v>
      </c>
      <c r="Q458" s="17" t="s">
        <v>28</v>
      </c>
      <c r="R458" s="18" t="s">
        <v>2044</v>
      </c>
      <c r="S458" s="11" t="s">
        <v>2045</v>
      </c>
      <c r="T458" s="12"/>
      <c r="U458" s="10" t="str">
        <f>HYPERLINK("https://pbs.twimg.com/profile_images/1047545446925778944/Dh78YVga.jpg","View")</f>
        <v>View</v>
      </c>
    </row>
    <row r="459" spans="1:21" ht="20.399999999999999">
      <c r="A459" s="6">
        <v>43427.499305555553</v>
      </c>
      <c r="B459" s="7" t="str">
        <f>HYPERLINK("https://twitter.com/sumariumcom","@sumariumcom")</f>
        <v>@sumariumcom</v>
      </c>
      <c r="C459" s="8" t="s">
        <v>1974</v>
      </c>
      <c r="D459" s="9" t="s">
        <v>2046</v>
      </c>
      <c r="E459" s="10" t="str">
        <f>HYPERLINK("https://twitter.com/sumariumcom/status/1065922659609792512","1065922659609792512")</f>
        <v>1065922659609792512</v>
      </c>
      <c r="F459" s="11" t="s">
        <v>2047</v>
      </c>
      <c r="G459" s="11" t="s">
        <v>2048</v>
      </c>
      <c r="H459" s="12"/>
      <c r="I459" s="13">
        <v>0</v>
      </c>
      <c r="J459" s="13">
        <v>0</v>
      </c>
      <c r="K459" s="14" t="str">
        <f>HYPERLINK("https://about.twitter.com/products/tweetdeck","TweetDeck")</f>
        <v>TweetDeck</v>
      </c>
      <c r="L459" s="13">
        <v>164226</v>
      </c>
      <c r="M459" s="13">
        <v>994</v>
      </c>
      <c r="N459" s="13">
        <v>1117</v>
      </c>
      <c r="O459" s="15"/>
      <c r="P459" s="6">
        <v>40977.809594907405</v>
      </c>
      <c r="Q459" s="17" t="s">
        <v>1978</v>
      </c>
      <c r="R459" s="19"/>
      <c r="S459" s="11" t="s">
        <v>1979</v>
      </c>
      <c r="T459" s="12"/>
      <c r="U459" s="10" t="str">
        <f>HYPERLINK("https://pbs.twimg.com/profile_images/1061987847874469888/mok5IDTt.jpg","View")</f>
        <v>View</v>
      </c>
    </row>
    <row r="460" spans="1:21" ht="40.799999999999997">
      <c r="A460" s="6">
        <v>43427.498703703706</v>
      </c>
      <c r="B460" s="7" t="str">
        <f>HYPERLINK("https://twitter.com/Jose_Vazquez112","@Jose_Vazquez112")</f>
        <v>@Jose_Vazquez112</v>
      </c>
      <c r="C460" s="8" t="s">
        <v>2049</v>
      </c>
      <c r="D460" s="9" t="s">
        <v>2050</v>
      </c>
      <c r="E460" s="10" t="str">
        <f>HYPERLINK("https://twitter.com/Jose_Vazquez112/status/1065922440533106688","1065922440533106688")</f>
        <v>1065922440533106688</v>
      </c>
      <c r="F460" s="12"/>
      <c r="G460" s="12"/>
      <c r="H460" s="12"/>
      <c r="I460" s="13">
        <v>0</v>
      </c>
      <c r="J460" s="13">
        <v>0</v>
      </c>
      <c r="K460" s="14" t="str">
        <f>HYPERLINK("http://twitter.com","Twitter Web Client")</f>
        <v>Twitter Web Client</v>
      </c>
      <c r="L460" s="13">
        <v>43</v>
      </c>
      <c r="M460" s="13">
        <v>147</v>
      </c>
      <c r="N460" s="13">
        <v>0</v>
      </c>
      <c r="O460" s="15"/>
      <c r="P460" s="6">
        <v>41918.552418981482</v>
      </c>
      <c r="Q460" s="12"/>
      <c r="R460" s="19"/>
      <c r="S460" s="12"/>
      <c r="T460" s="12"/>
      <c r="U460" s="10" t="str">
        <f>HYPERLINK("https://pbs.twimg.com/profile_images/953273603268796421/TglX6NCd.jpg","View")</f>
        <v>View</v>
      </c>
    </row>
    <row r="461" spans="1:21" ht="20.399999999999999">
      <c r="A461" s="6">
        <v>43427.497928240744</v>
      </c>
      <c r="B461" s="7" t="str">
        <f>HYPERLINK("https://twitter.com/halroro","@halroro")</f>
        <v>@halroro</v>
      </c>
      <c r="C461" s="8" t="s">
        <v>2051</v>
      </c>
      <c r="D461" s="9" t="s">
        <v>2052</v>
      </c>
      <c r="E461" s="10" t="str">
        <f>HYPERLINK("https://twitter.com/halroro/status/1065922158596157440","1065922158596157440")</f>
        <v>1065922158596157440</v>
      </c>
      <c r="F461" s="12"/>
      <c r="G461" s="12"/>
      <c r="H461" s="12"/>
      <c r="I461" s="13">
        <v>0</v>
      </c>
      <c r="J461" s="13">
        <v>0</v>
      </c>
      <c r="K461" s="14" t="str">
        <f t="shared" ref="K461:K463" si="82">HYPERLINK("http://twitter.com/download/android","Twitter for Android")</f>
        <v>Twitter for Android</v>
      </c>
      <c r="L461" s="13">
        <v>328</v>
      </c>
      <c r="M461" s="13">
        <v>1607</v>
      </c>
      <c r="N461" s="13">
        <v>3</v>
      </c>
      <c r="O461" s="15"/>
      <c r="P461" s="6">
        <v>40646.813391203701</v>
      </c>
      <c r="Q461" s="17" t="s">
        <v>2053</v>
      </c>
      <c r="R461" s="18" t="s">
        <v>2054</v>
      </c>
      <c r="S461" s="12"/>
      <c r="T461" s="12"/>
      <c r="U461" s="10" t="str">
        <f>HYPERLINK("https://pbs.twimg.com/profile_images/1056220854797959168/RL_zVyE6.jpg","View")</f>
        <v>View</v>
      </c>
    </row>
    <row r="462" spans="1:21" ht="20.399999999999999">
      <c r="A462" s="6">
        <v>43427.497858796298</v>
      </c>
      <c r="B462" s="7" t="str">
        <f>HYPERLINK("https://twitter.com/JacoboMonfort","@JacoboMonfort")</f>
        <v>@JacoboMonfort</v>
      </c>
      <c r="C462" s="8" t="s">
        <v>2055</v>
      </c>
      <c r="D462" s="9" t="s">
        <v>1596</v>
      </c>
      <c r="E462" s="10" t="str">
        <f>HYPERLINK("https://twitter.com/JacoboMonfort/status/1065922136647323648","1065922136647323648")</f>
        <v>1065922136647323648</v>
      </c>
      <c r="F462" s="11" t="s">
        <v>746</v>
      </c>
      <c r="G462" s="12"/>
      <c r="H462" s="12"/>
      <c r="I462" s="13">
        <v>0</v>
      </c>
      <c r="J462" s="13">
        <v>0</v>
      </c>
      <c r="K462" s="14" t="str">
        <f t="shared" si="82"/>
        <v>Twitter for Android</v>
      </c>
      <c r="L462" s="13">
        <v>1587</v>
      </c>
      <c r="M462" s="13">
        <v>2038</v>
      </c>
      <c r="N462" s="13">
        <v>11</v>
      </c>
      <c r="O462" s="15"/>
      <c r="P462" s="6">
        <v>40201.992141203707</v>
      </c>
      <c r="Q462" s="17" t="s">
        <v>2053</v>
      </c>
      <c r="R462" s="19"/>
      <c r="S462" s="12"/>
      <c r="T462" s="12"/>
      <c r="U462" s="10" t="str">
        <f>HYPERLINK("https://pbs.twimg.com/profile_images/729423885041537024/xThPf9dD.jpg","View")</f>
        <v>View</v>
      </c>
    </row>
    <row r="463" spans="1:21" ht="30.6">
      <c r="A463" s="6">
        <v>43427.496874999997</v>
      </c>
      <c r="B463" s="7" t="str">
        <f>HYPERLINK("https://twitter.com/carlosaporrasp","@carlosaporrasp")</f>
        <v>@carlosaporrasp</v>
      </c>
      <c r="C463" s="8" t="s">
        <v>2056</v>
      </c>
      <c r="D463" s="9" t="s">
        <v>2057</v>
      </c>
      <c r="E463" s="10" t="str">
        <f>HYPERLINK("https://twitter.com/carlosaporrasp/status/1065921778042789888","1065921778042789888")</f>
        <v>1065921778042789888</v>
      </c>
      <c r="F463" s="12"/>
      <c r="G463" s="12"/>
      <c r="H463" s="12"/>
      <c r="I463" s="13">
        <v>1</v>
      </c>
      <c r="J463" s="13">
        <v>1</v>
      </c>
      <c r="K463" s="14" t="str">
        <f t="shared" si="82"/>
        <v>Twitter for Android</v>
      </c>
      <c r="L463" s="13">
        <v>137</v>
      </c>
      <c r="M463" s="13">
        <v>1064</v>
      </c>
      <c r="N463" s="13">
        <v>0</v>
      </c>
      <c r="O463" s="15"/>
      <c r="P463" s="6">
        <v>41297.617604166662</v>
      </c>
      <c r="Q463" s="12"/>
      <c r="R463" s="19"/>
      <c r="S463" s="12"/>
      <c r="T463" s="12"/>
      <c r="U463" s="16" t="s">
        <v>373</v>
      </c>
    </row>
    <row r="464" spans="1:21" ht="30.6">
      <c r="A464" s="6">
        <v>43427.495069444441</v>
      </c>
      <c r="B464" s="7" t="str">
        <f>HYPERLINK("https://twitter.com/PauladeLasHeras","@PauladeLasHeras")</f>
        <v>@PauladeLasHeras</v>
      </c>
      <c r="C464" s="8" t="s">
        <v>2058</v>
      </c>
      <c r="D464" s="9" t="s">
        <v>2059</v>
      </c>
      <c r="E464" s="10" t="str">
        <f>HYPERLINK("https://twitter.com/PauladeLasHeras/status/1065921126147207168","1065921126147207168")</f>
        <v>1065921126147207168</v>
      </c>
      <c r="F464" s="11" t="s">
        <v>2060</v>
      </c>
      <c r="G464" s="12"/>
      <c r="H464" s="12"/>
      <c r="I464" s="13">
        <v>0</v>
      </c>
      <c r="J464" s="13">
        <v>0</v>
      </c>
      <c r="K464" s="14" t="str">
        <f>HYPERLINK("http://twitter.com/download/iphone","Twitter for iPhone")</f>
        <v>Twitter for iPhone</v>
      </c>
      <c r="L464" s="13">
        <v>6051</v>
      </c>
      <c r="M464" s="13">
        <v>1135</v>
      </c>
      <c r="N464" s="13">
        <v>241</v>
      </c>
      <c r="O464" s="15"/>
      <c r="P464" s="6">
        <v>40345.823634259257</v>
      </c>
      <c r="Q464" s="17" t="s">
        <v>72</v>
      </c>
      <c r="R464" s="18" t="s">
        <v>2061</v>
      </c>
      <c r="S464" s="12"/>
      <c r="T464" s="12"/>
      <c r="U464" s="10" t="str">
        <f>HYPERLINK("https://pbs.twimg.com/profile_images/777076140573859840/5gjZbhhp.jpg","View")</f>
        <v>View</v>
      </c>
    </row>
    <row r="465" spans="1:21" ht="30.6">
      <c r="A465" s="6">
        <v>43427.494884259257</v>
      </c>
      <c r="B465" s="7" t="str">
        <f>HYPERLINK("https://twitter.com/MarchalSabater","@MarchalSabater")</f>
        <v>@MarchalSabater</v>
      </c>
      <c r="C465" s="8" t="s">
        <v>2062</v>
      </c>
      <c r="D465" s="9" t="s">
        <v>2063</v>
      </c>
      <c r="E465" s="10" t="str">
        <f>HYPERLINK("https://twitter.com/MarchalSabater/status/1065921057322872834","1065921057322872834")</f>
        <v>1065921057322872834</v>
      </c>
      <c r="F465" s="11" t="s">
        <v>2026</v>
      </c>
      <c r="G465" s="12"/>
      <c r="H465" s="12"/>
      <c r="I465" s="13">
        <v>0</v>
      </c>
      <c r="J465" s="13">
        <v>0</v>
      </c>
      <c r="K465" s="14" t="str">
        <f t="shared" ref="K465:K466" si="83">HYPERLINK("http://www.facebook.com/twitter","Facebook")</f>
        <v>Facebook</v>
      </c>
      <c r="L465" s="13">
        <v>1738</v>
      </c>
      <c r="M465" s="13">
        <v>2349</v>
      </c>
      <c r="N465" s="13">
        <v>15</v>
      </c>
      <c r="O465" s="15"/>
      <c r="P465" s="6">
        <v>40489.531111111108</v>
      </c>
      <c r="Q465" s="12"/>
      <c r="R465" s="18" t="s">
        <v>2064</v>
      </c>
      <c r="S465" s="11" t="s">
        <v>2065</v>
      </c>
      <c r="T465" s="12"/>
      <c r="U465" s="10" t="str">
        <f>HYPERLINK("https://pbs.twimg.com/profile_images/1065628396888174592/fq-hEc6u.jpg","View")</f>
        <v>View</v>
      </c>
    </row>
    <row r="466" spans="1:21" ht="40.799999999999997">
      <c r="A466" s="6">
        <v>43427.494618055556</v>
      </c>
      <c r="B466" s="7" t="str">
        <f>HYPERLINK("https://twitter.com/Capitan2piR","@Capitan2piR")</f>
        <v>@Capitan2piR</v>
      </c>
      <c r="C466" s="8" t="s">
        <v>2066</v>
      </c>
      <c r="D466" s="9" t="s">
        <v>2067</v>
      </c>
      <c r="E466" s="10" t="str">
        <f>HYPERLINK("https://twitter.com/Capitan2piR/status/1065920960774225920","1065920960774225920")</f>
        <v>1065920960774225920</v>
      </c>
      <c r="F466" s="11" t="s">
        <v>2068</v>
      </c>
      <c r="G466" s="12"/>
      <c r="H466" s="12"/>
      <c r="I466" s="13">
        <v>0</v>
      </c>
      <c r="J466" s="13">
        <v>0</v>
      </c>
      <c r="K466" s="14" t="str">
        <f t="shared" si="83"/>
        <v>Facebook</v>
      </c>
      <c r="L466" s="13">
        <v>285</v>
      </c>
      <c r="M466" s="13">
        <v>568</v>
      </c>
      <c r="N466" s="13">
        <v>2</v>
      </c>
      <c r="O466" s="15"/>
      <c r="P466" s="6">
        <v>41650.954594907409</v>
      </c>
      <c r="Q466" s="17" t="s">
        <v>2069</v>
      </c>
      <c r="R466" s="18" t="s">
        <v>2070</v>
      </c>
      <c r="S466" s="12"/>
      <c r="T466" s="12"/>
      <c r="U466" s="10" t="str">
        <f>HYPERLINK("https://pbs.twimg.com/profile_images/939076760825729024/GWLrSvj5.jpg","View")</f>
        <v>View</v>
      </c>
    </row>
    <row r="467" spans="1:21" ht="71.400000000000006">
      <c r="A467" s="6">
        <v>43427.494131944448</v>
      </c>
      <c r="B467" s="7" t="str">
        <f>HYPERLINK("https://twitter.com/007JamesBoon","@007JamesBoon")</f>
        <v>@007JamesBoon</v>
      </c>
      <c r="C467" s="8" t="s">
        <v>2071</v>
      </c>
      <c r="D467" s="9" t="s">
        <v>2072</v>
      </c>
      <c r="E467" s="10" t="str">
        <f>HYPERLINK("https://twitter.com/007JamesBoon/status/1065920784164683776","1065920784164683776")</f>
        <v>1065920784164683776</v>
      </c>
      <c r="F467" s="11" t="s">
        <v>2073</v>
      </c>
      <c r="G467" s="11" t="s">
        <v>2074</v>
      </c>
      <c r="H467" s="12"/>
      <c r="I467" s="13">
        <v>0</v>
      </c>
      <c r="J467" s="13">
        <v>0</v>
      </c>
      <c r="K467" s="14" t="str">
        <f>HYPERLINK("http://twitter.com/download/iphone","Twitter for iPhone")</f>
        <v>Twitter for iPhone</v>
      </c>
      <c r="L467" s="13">
        <v>49</v>
      </c>
      <c r="M467" s="13">
        <v>382</v>
      </c>
      <c r="N467" s="13">
        <v>0</v>
      </c>
      <c r="O467" s="15"/>
      <c r="P467" s="6">
        <v>43010.668425925927</v>
      </c>
      <c r="Q467" s="12"/>
      <c r="R467" s="18" t="s">
        <v>2075</v>
      </c>
      <c r="S467" s="12"/>
      <c r="T467" s="12"/>
      <c r="U467" s="10" t="str">
        <f>HYPERLINK("https://pbs.twimg.com/profile_images/1034198868395810816/7-ydsnDS.jpg","View")</f>
        <v>View</v>
      </c>
    </row>
    <row r="468" spans="1:21" ht="20.399999999999999">
      <c r="A468" s="6">
        <v>43427.494074074071</v>
      </c>
      <c r="B468" s="7" t="str">
        <f>HYPERLINK("https://twitter.com/Alfacebook64","@Alfacebook64")</f>
        <v>@Alfacebook64</v>
      </c>
      <c r="C468" s="8" t="s">
        <v>2017</v>
      </c>
      <c r="D468" s="9" t="s">
        <v>2076</v>
      </c>
      <c r="E468" s="10" t="str">
        <f>HYPERLINK("https://twitter.com/Alfacebook64/status/1065920763507691520","1065920763507691520")</f>
        <v>1065920763507691520</v>
      </c>
      <c r="F468" s="11" t="s">
        <v>1841</v>
      </c>
      <c r="G468" s="12"/>
      <c r="H468" s="12"/>
      <c r="I468" s="13">
        <v>1</v>
      </c>
      <c r="J468" s="13">
        <v>1</v>
      </c>
      <c r="K468" s="14" t="str">
        <f>HYPERLINK("http://twitter.com","Twitter Web Client")</f>
        <v>Twitter Web Client</v>
      </c>
      <c r="L468" s="13">
        <v>4225</v>
      </c>
      <c r="M468" s="13">
        <v>3499</v>
      </c>
      <c r="N468" s="13">
        <v>39</v>
      </c>
      <c r="O468" s="15"/>
      <c r="P468" s="6">
        <v>42189.951504629629</v>
      </c>
      <c r="Q468" s="17" t="s">
        <v>2019</v>
      </c>
      <c r="R468" s="18" t="s">
        <v>2020</v>
      </c>
      <c r="S468" s="12"/>
      <c r="T468" s="12"/>
      <c r="U468" s="10" t="str">
        <f>HYPERLINK("https://pbs.twimg.com/profile_images/636562609811099648/TOG_sQjr.jpg","View")</f>
        <v>View</v>
      </c>
    </row>
    <row r="469" spans="1:21" ht="20.399999999999999">
      <c r="A469" s="6">
        <v>43427.493483796294</v>
      </c>
      <c r="B469" s="7" t="str">
        <f>HYPERLINK("https://twitter.com/rscabanillas","@rscabanillas")</f>
        <v>@rscabanillas</v>
      </c>
      <c r="C469" s="8" t="s">
        <v>1894</v>
      </c>
      <c r="D469" s="9" t="s">
        <v>2077</v>
      </c>
      <c r="E469" s="10" t="str">
        <f>HYPERLINK("https://twitter.com/rscabanillas/status/1065920549845680128","1065920549845680128")</f>
        <v>1065920549845680128</v>
      </c>
      <c r="F469" s="12"/>
      <c r="G469" s="12"/>
      <c r="H469" s="12"/>
      <c r="I469" s="13">
        <v>0</v>
      </c>
      <c r="J469" s="13">
        <v>0</v>
      </c>
      <c r="K469" s="14" t="str">
        <f>HYPERLINK("http://twitter.com/download/android","Twitter for Android")</f>
        <v>Twitter for Android</v>
      </c>
      <c r="L469" s="13">
        <v>235</v>
      </c>
      <c r="M469" s="13">
        <v>648</v>
      </c>
      <c r="N469" s="13">
        <v>8</v>
      </c>
      <c r="O469" s="15"/>
      <c r="P469" s="6">
        <v>40281.903067129628</v>
      </c>
      <c r="Q469" s="17" t="s">
        <v>1278</v>
      </c>
      <c r="R469" s="18" t="s">
        <v>1896</v>
      </c>
      <c r="S469" s="12"/>
      <c r="T469" s="12"/>
      <c r="U469" s="10" t="str">
        <f>HYPERLINK("https://pbs.twimg.com/profile_images/2466541336/b20z9vh4c994siwzfxv8.jpeg","View")</f>
        <v>View</v>
      </c>
    </row>
    <row r="470" spans="1:21" ht="20.399999999999999">
      <c r="A470" s="6">
        <v>43427.493043981478</v>
      </c>
      <c r="B470" s="7" t="str">
        <f>HYPERLINK("https://twitter.com/elwarito","@elwarito")</f>
        <v>@elwarito</v>
      </c>
      <c r="C470" s="8" t="s">
        <v>2078</v>
      </c>
      <c r="D470" s="9" t="s">
        <v>2079</v>
      </c>
      <c r="E470" s="10" t="str">
        <f>HYPERLINK("https://twitter.com/elwarito/status/1065920389312905216","1065920389312905216")</f>
        <v>1065920389312905216</v>
      </c>
      <c r="F470" s="11" t="s">
        <v>2080</v>
      </c>
      <c r="G470" s="12"/>
      <c r="H470" s="12"/>
      <c r="I470" s="13">
        <v>0</v>
      </c>
      <c r="J470" s="13">
        <v>0</v>
      </c>
      <c r="K470" s="14" t="str">
        <f>HYPERLINK("https://www.google.com/","Google")</f>
        <v>Google</v>
      </c>
      <c r="L470" s="13">
        <v>462</v>
      </c>
      <c r="M470" s="13">
        <v>2302</v>
      </c>
      <c r="N470" s="13">
        <v>2</v>
      </c>
      <c r="O470" s="15"/>
      <c r="P470" s="6">
        <v>40421.218344907407</v>
      </c>
      <c r="Q470" s="17" t="s">
        <v>2081</v>
      </c>
      <c r="R470" s="19"/>
      <c r="S470" s="12"/>
      <c r="T470" s="12"/>
      <c r="U470" s="10" t="str">
        <f>HYPERLINK("https://pbs.twimg.com/profile_images/1114276371/GetAttachment.jpg","View")</f>
        <v>View</v>
      </c>
    </row>
    <row r="471" spans="1:21" ht="71.400000000000006">
      <c r="A471" s="6">
        <v>43427.492997685185</v>
      </c>
      <c r="B471" s="7" t="str">
        <f>HYPERLINK("https://twitter.com/luisllzz","@luisllzz")</f>
        <v>@luisllzz</v>
      </c>
      <c r="C471" s="8" t="s">
        <v>2082</v>
      </c>
      <c r="D471" s="9" t="s">
        <v>2083</v>
      </c>
      <c r="E471" s="10" t="str">
        <f>HYPERLINK("https://twitter.com/luisllzz/status/1065920373248745472","1065920373248745472")</f>
        <v>1065920373248745472</v>
      </c>
      <c r="F471" s="11" t="s">
        <v>2084</v>
      </c>
      <c r="G471" s="12"/>
      <c r="H471" s="12"/>
      <c r="I471" s="13">
        <v>0</v>
      </c>
      <c r="J471" s="13">
        <v>0</v>
      </c>
      <c r="K471" s="14" t="str">
        <f t="shared" ref="K471:K472" si="84">HYPERLINK("http://twitter.com/download/android","Twitter for Android")</f>
        <v>Twitter for Android</v>
      </c>
      <c r="L471" s="13">
        <v>396</v>
      </c>
      <c r="M471" s="13">
        <v>449</v>
      </c>
      <c r="N471" s="13">
        <v>0</v>
      </c>
      <c r="O471" s="15"/>
      <c r="P471" s="6">
        <v>42681.407650462963</v>
      </c>
      <c r="Q471" s="17" t="s">
        <v>28</v>
      </c>
      <c r="R471" s="18" t="s">
        <v>2085</v>
      </c>
      <c r="S471" s="12"/>
      <c r="T471" s="12"/>
      <c r="U471" s="10" t="str">
        <f>HYPERLINK("https://pbs.twimg.com/profile_images/1001772071024721920/NpV230z9.jpg","View")</f>
        <v>View</v>
      </c>
    </row>
    <row r="472" spans="1:21" ht="20.399999999999999">
      <c r="A472" s="6">
        <v>43427.492268518516</v>
      </c>
      <c r="B472" s="7" t="str">
        <f>HYPERLINK("https://twitter.com/Edurneazul","@Edurneazul")</f>
        <v>@Edurneazul</v>
      </c>
      <c r="C472" s="8" t="s">
        <v>2086</v>
      </c>
      <c r="D472" s="9" t="s">
        <v>1775</v>
      </c>
      <c r="E472" s="10" t="str">
        <f>HYPERLINK("https://twitter.com/Edurneazul/status/1065920108768444416","1065920108768444416")</f>
        <v>1065920108768444416</v>
      </c>
      <c r="F472" s="11" t="s">
        <v>1776</v>
      </c>
      <c r="G472" s="12"/>
      <c r="H472" s="12"/>
      <c r="I472" s="13">
        <v>2</v>
      </c>
      <c r="J472" s="13">
        <v>3</v>
      </c>
      <c r="K472" s="14" t="str">
        <f t="shared" si="84"/>
        <v>Twitter for Android</v>
      </c>
      <c r="L472" s="13">
        <v>429</v>
      </c>
      <c r="M472" s="13">
        <v>550</v>
      </c>
      <c r="N472" s="13">
        <v>4</v>
      </c>
      <c r="O472" s="15"/>
      <c r="P472" s="6">
        <v>40133.083935185183</v>
      </c>
      <c r="Q472" s="12"/>
      <c r="R472" s="18" t="s">
        <v>2087</v>
      </c>
      <c r="S472" s="12"/>
      <c r="T472" s="12"/>
      <c r="U472" s="10" t="str">
        <f>HYPERLINK("https://pbs.twimg.com/profile_images/1027568062013300736/5L2LpIeX.jpg","View")</f>
        <v>View</v>
      </c>
    </row>
    <row r="473" spans="1:21" ht="20.399999999999999">
      <c r="A473" s="6">
        <v>43427.491597222222</v>
      </c>
      <c r="B473" s="7" t="str">
        <f>HYPERLINK("https://twitter.com/Alfacebook64","@Alfacebook64")</f>
        <v>@Alfacebook64</v>
      </c>
      <c r="C473" s="8" t="s">
        <v>2017</v>
      </c>
      <c r="D473" s="9" t="s">
        <v>2088</v>
      </c>
      <c r="E473" s="10" t="str">
        <f>HYPERLINK("https://twitter.com/Alfacebook64/status/1065919865972768768","1065919865972768768")</f>
        <v>1065919865972768768</v>
      </c>
      <c r="F473" s="11" t="s">
        <v>2089</v>
      </c>
      <c r="G473" s="12"/>
      <c r="H473" s="12"/>
      <c r="I473" s="13">
        <v>0</v>
      </c>
      <c r="J473" s="13">
        <v>1</v>
      </c>
      <c r="K473" s="14" t="str">
        <f t="shared" ref="K473:K474" si="85">HYPERLINK("http://twitter.com","Twitter Web Client")</f>
        <v>Twitter Web Client</v>
      </c>
      <c r="L473" s="13">
        <v>4225</v>
      </c>
      <c r="M473" s="13">
        <v>3499</v>
      </c>
      <c r="N473" s="13">
        <v>39</v>
      </c>
      <c r="O473" s="15"/>
      <c r="P473" s="6">
        <v>42189.951504629629</v>
      </c>
      <c r="Q473" s="17" t="s">
        <v>2019</v>
      </c>
      <c r="R473" s="18" t="s">
        <v>2020</v>
      </c>
      <c r="S473" s="12"/>
      <c r="T473" s="12"/>
      <c r="U473" s="10" t="str">
        <f>HYPERLINK("https://pbs.twimg.com/profile_images/636562609811099648/TOG_sQjr.jpg","View")</f>
        <v>View</v>
      </c>
    </row>
    <row r="474" spans="1:21" ht="30.6">
      <c r="A474" s="6">
        <v>43427.491157407407</v>
      </c>
      <c r="B474" s="7" t="str">
        <f>HYPERLINK("https://twitter.com/mercedes_tamara","@mercedes_tamara")</f>
        <v>@mercedes_tamara</v>
      </c>
      <c r="C474" s="8" t="s">
        <v>2090</v>
      </c>
      <c r="D474" s="9" t="s">
        <v>2091</v>
      </c>
      <c r="E474" s="10" t="str">
        <f>HYPERLINK("https://twitter.com/mercedes_tamara/status/1065919706505334784","1065919706505334784")</f>
        <v>1065919706505334784</v>
      </c>
      <c r="F474" s="11" t="s">
        <v>2092</v>
      </c>
      <c r="G474" s="12"/>
      <c r="H474" s="12"/>
      <c r="I474" s="13">
        <v>0</v>
      </c>
      <c r="J474" s="13">
        <v>0</v>
      </c>
      <c r="K474" s="14" t="str">
        <f t="shared" si="85"/>
        <v>Twitter Web Client</v>
      </c>
      <c r="L474" s="13">
        <v>539</v>
      </c>
      <c r="M474" s="13">
        <v>889</v>
      </c>
      <c r="N474" s="13">
        <v>0</v>
      </c>
      <c r="O474" s="15"/>
      <c r="P474" s="6">
        <v>43040.477708333332</v>
      </c>
      <c r="Q474" s="17" t="s">
        <v>191</v>
      </c>
      <c r="R474" s="18" t="s">
        <v>2093</v>
      </c>
      <c r="S474" s="12"/>
      <c r="T474" s="12"/>
      <c r="U474" s="10" t="str">
        <f>HYPERLINK("https://pbs.twimg.com/profile_images/1063761076607700992/9ABZRqiN.jpg","View")</f>
        <v>View</v>
      </c>
    </row>
    <row r="475" spans="1:21" ht="51">
      <c r="A475" s="6">
        <v>43427.490416666667</v>
      </c>
      <c r="B475" s="7" t="str">
        <f>HYPERLINK("https://twitter.com/sedlr_","@sedlr_")</f>
        <v>@sedlr_</v>
      </c>
      <c r="C475" s="8" t="s">
        <v>2094</v>
      </c>
      <c r="D475" s="9" t="s">
        <v>2095</v>
      </c>
      <c r="E475" s="10" t="str">
        <f>HYPERLINK("https://twitter.com/sedlr_/status/1065919439944728581","1065919439944728581")</f>
        <v>1065919439944728581</v>
      </c>
      <c r="F475" s="12"/>
      <c r="G475" s="11" t="s">
        <v>2096</v>
      </c>
      <c r="H475" s="12"/>
      <c r="I475" s="13">
        <v>1</v>
      </c>
      <c r="J475" s="13">
        <v>4</v>
      </c>
      <c r="K475" s="14" t="str">
        <f t="shared" ref="K475:K476" si="86">HYPERLINK("http://twitter.com/download/android","Twitter for Android")</f>
        <v>Twitter for Android</v>
      </c>
      <c r="L475" s="13">
        <v>7672</v>
      </c>
      <c r="M475" s="13">
        <v>7330</v>
      </c>
      <c r="N475" s="13">
        <v>33</v>
      </c>
      <c r="O475" s="15"/>
      <c r="P475" s="6">
        <v>41250.693912037037</v>
      </c>
      <c r="Q475" s="17" t="s">
        <v>2097</v>
      </c>
      <c r="R475" s="19"/>
      <c r="S475" s="12"/>
      <c r="T475" s="12"/>
      <c r="U475" s="10" t="str">
        <f>HYPERLINK("https://pbs.twimg.com/profile_images/1026984752270782464/dquFa8_K.jpg","View")</f>
        <v>View</v>
      </c>
    </row>
    <row r="476" spans="1:21" ht="20.399999999999999">
      <c r="A476" s="6">
        <v>43427.490312499998</v>
      </c>
      <c r="B476" s="7" t="str">
        <f>HYPERLINK("https://twitter.com/pareysa","@pareysa")</f>
        <v>@pareysa</v>
      </c>
      <c r="C476" s="8" t="s">
        <v>2098</v>
      </c>
      <c r="D476" s="9" t="s">
        <v>2099</v>
      </c>
      <c r="E476" s="10" t="str">
        <f>HYPERLINK("https://twitter.com/pareysa/status/1065919400811859968","1065919400811859968")</f>
        <v>1065919400811859968</v>
      </c>
      <c r="F476" s="12"/>
      <c r="G476" s="12"/>
      <c r="H476" s="12"/>
      <c r="I476" s="13">
        <v>1</v>
      </c>
      <c r="J476" s="13">
        <v>1</v>
      </c>
      <c r="K476" s="14" t="str">
        <f t="shared" si="86"/>
        <v>Twitter for Android</v>
      </c>
      <c r="L476" s="13">
        <v>200</v>
      </c>
      <c r="M476" s="13">
        <v>456</v>
      </c>
      <c r="N476" s="13">
        <v>0</v>
      </c>
      <c r="O476" s="15"/>
      <c r="P476" s="6">
        <v>40375.903310185182</v>
      </c>
      <c r="Q476" s="17" t="s">
        <v>2100</v>
      </c>
      <c r="R476" s="18" t="s">
        <v>2101</v>
      </c>
      <c r="S476" s="12"/>
      <c r="T476" s="12"/>
      <c r="U476" s="10" t="str">
        <f>HYPERLINK("https://pbs.twimg.com/profile_images/525029140831801344/KB8Nkwrl.jpeg","View")</f>
        <v>View</v>
      </c>
    </row>
    <row r="477" spans="1:21" ht="20.399999999999999">
      <c r="A477" s="6">
        <v>43427.489780092597</v>
      </c>
      <c r="B477" s="7" t="str">
        <f>HYPERLINK("https://twitter.com/elneciocubano","@elneciocubano")</f>
        <v>@elneciocubano</v>
      </c>
      <c r="C477" s="8" t="s">
        <v>2102</v>
      </c>
      <c r="D477" s="9" t="s">
        <v>2103</v>
      </c>
      <c r="E477" s="10" t="str">
        <f>HYPERLINK("https://twitter.com/elneciocubano/status/1065919206267518977","1065919206267518977")</f>
        <v>1065919206267518977</v>
      </c>
      <c r="F477" s="11" t="s">
        <v>2105</v>
      </c>
      <c r="G477" s="12"/>
      <c r="H477" s="12"/>
      <c r="I477" s="13">
        <v>0</v>
      </c>
      <c r="J477" s="13">
        <v>0</v>
      </c>
      <c r="K477" s="14" t="str">
        <f>HYPERLINK("http://twitter.com","Twitter Web Client")</f>
        <v>Twitter Web Client</v>
      </c>
      <c r="L477" s="13">
        <v>901</v>
      </c>
      <c r="M477" s="13">
        <v>1144</v>
      </c>
      <c r="N477" s="13">
        <v>35</v>
      </c>
      <c r="O477" s="15"/>
      <c r="P477" s="6">
        <v>42357.452060185184</v>
      </c>
      <c r="Q477" s="17" t="s">
        <v>2106</v>
      </c>
      <c r="R477" s="18" t="s">
        <v>2107</v>
      </c>
      <c r="S477" s="11" t="s">
        <v>2108</v>
      </c>
      <c r="T477" s="12"/>
      <c r="U477" s="10" t="str">
        <f>HYPERLINK("https://pbs.twimg.com/profile_images/1062502738863538176/tLDwH3BF.jpg","View")</f>
        <v>View</v>
      </c>
    </row>
    <row r="478" spans="1:21" ht="40.799999999999997">
      <c r="A478" s="6">
        <v>43427.489537037036</v>
      </c>
      <c r="B478" s="7" t="str">
        <f>HYPERLINK("https://twitter.com/JoseLui43872588","@JoseLui43872588")</f>
        <v>@JoseLui43872588</v>
      </c>
      <c r="C478" s="8" t="s">
        <v>1947</v>
      </c>
      <c r="D478" s="9" t="s">
        <v>2109</v>
      </c>
      <c r="E478" s="10" t="str">
        <f>HYPERLINK("https://twitter.com/JoseLui43872588/status/1065919118552064005","1065919118552064005")</f>
        <v>1065919118552064005</v>
      </c>
      <c r="F478" s="12"/>
      <c r="G478" s="12"/>
      <c r="H478" s="12"/>
      <c r="I478" s="13">
        <v>0</v>
      </c>
      <c r="J478" s="13">
        <v>0</v>
      </c>
      <c r="K478" s="14" t="str">
        <f>HYPERLINK("http://twitter.com/download/android","Twitter for Android")</f>
        <v>Twitter for Android</v>
      </c>
      <c r="L478" s="13">
        <v>512</v>
      </c>
      <c r="M478" s="13">
        <v>128</v>
      </c>
      <c r="N478" s="13">
        <v>7</v>
      </c>
      <c r="O478" s="15"/>
      <c r="P478" s="6">
        <v>42705.999224537038</v>
      </c>
      <c r="Q478" s="17" t="s">
        <v>810</v>
      </c>
      <c r="R478" s="18" t="s">
        <v>1949</v>
      </c>
      <c r="S478" s="12"/>
      <c r="T478" s="12"/>
      <c r="U478" s="10" t="str">
        <f>HYPERLINK("https://pbs.twimg.com/profile_images/1009872713064820737/I4zrX8RR.jpg","View")</f>
        <v>View</v>
      </c>
    </row>
    <row r="479" spans="1:21" ht="20.399999999999999">
      <c r="A479" s="6">
        <v>43427.488726851851</v>
      </c>
      <c r="B479" s="7" t="str">
        <f>HYPERLINK("https://twitter.com/Alfacebook64","@Alfacebook64")</f>
        <v>@Alfacebook64</v>
      </c>
      <c r="C479" s="8" t="s">
        <v>2017</v>
      </c>
      <c r="D479" s="9" t="s">
        <v>2110</v>
      </c>
      <c r="E479" s="10" t="str">
        <f>HYPERLINK("https://twitter.com/Alfacebook64/status/1065918824925589505","1065918824925589505")</f>
        <v>1065918824925589505</v>
      </c>
      <c r="F479" s="11" t="s">
        <v>269</v>
      </c>
      <c r="G479" s="12"/>
      <c r="H479" s="12"/>
      <c r="I479" s="13">
        <v>0</v>
      </c>
      <c r="J479" s="13">
        <v>0</v>
      </c>
      <c r="K479" s="14" t="str">
        <f>HYPERLINK("http://twitter.com","Twitter Web Client")</f>
        <v>Twitter Web Client</v>
      </c>
      <c r="L479" s="13">
        <v>4225</v>
      </c>
      <c r="M479" s="13">
        <v>3499</v>
      </c>
      <c r="N479" s="13">
        <v>39</v>
      </c>
      <c r="O479" s="15"/>
      <c r="P479" s="6">
        <v>42189.951504629629</v>
      </c>
      <c r="Q479" s="17" t="s">
        <v>2019</v>
      </c>
      <c r="R479" s="18" t="s">
        <v>2020</v>
      </c>
      <c r="S479" s="12"/>
      <c r="T479" s="12"/>
      <c r="U479" s="10" t="str">
        <f>HYPERLINK("https://pbs.twimg.com/profile_images/636562609811099648/TOG_sQjr.jpg","View")</f>
        <v>View</v>
      </c>
    </row>
    <row r="480" spans="1:21" ht="30.6">
      <c r="A480" s="6">
        <v>43427.488611111112</v>
      </c>
      <c r="B480" s="7" t="str">
        <f>HYPERLINK("https://twitter.com/fjaviernunez","@fjaviernunez")</f>
        <v>@fjaviernunez</v>
      </c>
      <c r="C480" s="8" t="s">
        <v>2111</v>
      </c>
      <c r="D480" s="9" t="s">
        <v>441</v>
      </c>
      <c r="E480" s="10" t="str">
        <f>HYPERLINK("https://twitter.com/fjaviernunez/status/1065918782235918336","1065918782235918336")</f>
        <v>1065918782235918336</v>
      </c>
      <c r="F480" s="11" t="s">
        <v>2112</v>
      </c>
      <c r="G480" s="12"/>
      <c r="H480" s="12"/>
      <c r="I480" s="13">
        <v>0</v>
      </c>
      <c r="J480" s="13">
        <v>0</v>
      </c>
      <c r="K480" s="14" t="str">
        <f>HYPERLINK("http://twitter.com/download/iphone","Twitter for iPhone")</f>
        <v>Twitter for iPhone</v>
      </c>
      <c r="L480" s="13">
        <v>868</v>
      </c>
      <c r="M480" s="13">
        <v>180</v>
      </c>
      <c r="N480" s="13">
        <v>4</v>
      </c>
      <c r="O480" s="15"/>
      <c r="P480" s="6">
        <v>40289.511643518519</v>
      </c>
      <c r="Q480" s="17" t="s">
        <v>2113</v>
      </c>
      <c r="R480" s="18" t="s">
        <v>2114</v>
      </c>
      <c r="S480" s="11" t="s">
        <v>2115</v>
      </c>
      <c r="T480" s="12"/>
      <c r="U480" s="10" t="str">
        <f>HYPERLINK("https://pbs.twimg.com/profile_images/992524143173259265/MELTGR1D.jpg","View")</f>
        <v>View</v>
      </c>
    </row>
    <row r="481" spans="1:21" ht="20.399999999999999">
      <c r="A481" s="6">
        <v>43427.488530092596</v>
      </c>
      <c r="B481" s="7" t="str">
        <f>HYPERLINK("https://twitter.com/abcespana","@abcespana")</f>
        <v>@abcespana</v>
      </c>
      <c r="C481" s="8" t="s">
        <v>2116</v>
      </c>
      <c r="D481" s="9" t="s">
        <v>2117</v>
      </c>
      <c r="E481" s="10" t="str">
        <f>HYPERLINK("https://twitter.com/abcespana/status/1065918753995665408","1065918753995665408")</f>
        <v>1065918753995665408</v>
      </c>
      <c r="F481" s="11" t="s">
        <v>2118</v>
      </c>
      <c r="G481" s="12"/>
      <c r="H481" s="12"/>
      <c r="I481" s="13">
        <v>1</v>
      </c>
      <c r="J481" s="13">
        <v>0</v>
      </c>
      <c r="K481" s="14" t="str">
        <f>HYPERLINK("http://dogtrack.es","DogTrack_Oficial")</f>
        <v>DogTrack_Oficial</v>
      </c>
      <c r="L481" s="13">
        <v>12154</v>
      </c>
      <c r="M481" s="13">
        <v>199</v>
      </c>
      <c r="N481" s="13">
        <v>219</v>
      </c>
      <c r="O481" s="16" t="s">
        <v>26</v>
      </c>
      <c r="P481" s="6">
        <v>41820.4840625</v>
      </c>
      <c r="Q481" s="12"/>
      <c r="R481" s="18" t="s">
        <v>2119</v>
      </c>
      <c r="S481" s="11" t="s">
        <v>1578</v>
      </c>
      <c r="T481" s="12"/>
      <c r="U481" s="10" t="str">
        <f>HYPERLINK("https://pbs.twimg.com/profile_images/660003544939012096/foGuoVBZ.png","View")</f>
        <v>View</v>
      </c>
    </row>
    <row r="482" spans="1:21" ht="30.6">
      <c r="A482" s="6">
        <v>43427.488506944443</v>
      </c>
      <c r="B482" s="7" t="str">
        <f>HYPERLINK("https://twitter.com/mermeng666","@mermeng666")</f>
        <v>@mermeng666</v>
      </c>
      <c r="C482" s="8" t="s">
        <v>2120</v>
      </c>
      <c r="D482" s="9" t="s">
        <v>2121</v>
      </c>
      <c r="E482" s="10" t="str">
        <f>HYPERLINK("https://twitter.com/mermeng666/status/1065918745665773568","1065918745665773568")</f>
        <v>1065918745665773568</v>
      </c>
      <c r="F482" s="12"/>
      <c r="G482" s="12"/>
      <c r="H482" s="12"/>
      <c r="I482" s="13">
        <v>0</v>
      </c>
      <c r="J482" s="13">
        <v>0</v>
      </c>
      <c r="K482" s="14" t="str">
        <f>HYPERLINK("http://twitter.com/download/android","Twitter for Android")</f>
        <v>Twitter for Android</v>
      </c>
      <c r="L482" s="13">
        <v>694</v>
      </c>
      <c r="M482" s="13">
        <v>371</v>
      </c>
      <c r="N482" s="13">
        <v>4</v>
      </c>
      <c r="O482" s="15"/>
      <c r="P482" s="6">
        <v>40928.533993055556</v>
      </c>
      <c r="Q482" s="17" t="s">
        <v>2122</v>
      </c>
      <c r="R482" s="18" t="s">
        <v>2123</v>
      </c>
      <c r="S482" s="11" t="s">
        <v>2124</v>
      </c>
      <c r="T482" s="12"/>
      <c r="U482" s="10" t="str">
        <f>HYPERLINK("https://pbs.twimg.com/profile_images/1064130005033250817/GUeqq9Os.jpg","View")</f>
        <v>View</v>
      </c>
    </row>
    <row r="483" spans="1:21" ht="20.399999999999999">
      <c r="A483" s="6">
        <v>43427.488275462965</v>
      </c>
      <c r="B483" s="7" t="str">
        <f>HYPERLINK("https://twitter.com/NdiayeStephan","@NdiayeStephan")</f>
        <v>@NdiayeStephan</v>
      </c>
      <c r="C483" s="8" t="s">
        <v>2125</v>
      </c>
      <c r="D483" s="9" t="s">
        <v>2126</v>
      </c>
      <c r="E483" s="10" t="str">
        <f>HYPERLINK("https://twitter.com/NdiayeStephan/status/1065918660395638785","1065918660395638785")</f>
        <v>1065918660395638785</v>
      </c>
      <c r="F483" s="11" t="s">
        <v>2127</v>
      </c>
      <c r="G483" s="12"/>
      <c r="H483" s="12"/>
      <c r="I483" s="13">
        <v>0</v>
      </c>
      <c r="J483" s="13">
        <v>0</v>
      </c>
      <c r="K483" s="14" t="str">
        <f t="shared" ref="K483:K485" si="87">HYPERLINK("http://twitter.com","Twitter Web Client")</f>
        <v>Twitter Web Client</v>
      </c>
      <c r="L483" s="13">
        <v>111</v>
      </c>
      <c r="M483" s="13">
        <v>2018</v>
      </c>
      <c r="N483" s="13">
        <v>0</v>
      </c>
      <c r="O483" s="15"/>
      <c r="P483" s="6">
        <v>43156.942627314813</v>
      </c>
      <c r="Q483" s="12"/>
      <c r="R483" s="18" t="s">
        <v>2128</v>
      </c>
      <c r="S483" s="11" t="s">
        <v>2129</v>
      </c>
      <c r="T483" s="12"/>
      <c r="U483" s="10" t="str">
        <f>HYPERLINK("https://pbs.twimg.com/profile_images/1057613144309317632/7Ar5iGKr.jpg","View")</f>
        <v>View</v>
      </c>
    </row>
    <row r="484" spans="1:21" ht="51">
      <c r="A484" s="6">
        <v>43427.487962962958</v>
      </c>
      <c r="B484" s="7" t="str">
        <f>HYPERLINK("https://twitter.com/zoteiro","@zoteiro")</f>
        <v>@zoteiro</v>
      </c>
      <c r="C484" s="8" t="s">
        <v>1558</v>
      </c>
      <c r="D484" s="9" t="s">
        <v>2130</v>
      </c>
      <c r="E484" s="10" t="str">
        <f>HYPERLINK("https://twitter.com/zoteiro/status/1065918547321344000","1065918547321344000")</f>
        <v>1065918547321344000</v>
      </c>
      <c r="F484" s="12"/>
      <c r="G484" s="12"/>
      <c r="H484" s="12"/>
      <c r="I484" s="13">
        <v>0</v>
      </c>
      <c r="J484" s="13">
        <v>1</v>
      </c>
      <c r="K484" s="14" t="str">
        <f t="shared" si="87"/>
        <v>Twitter Web Client</v>
      </c>
      <c r="L484" s="13">
        <v>667</v>
      </c>
      <c r="M484" s="13">
        <v>654</v>
      </c>
      <c r="N484" s="13">
        <v>0</v>
      </c>
      <c r="O484" s="15"/>
      <c r="P484" s="6">
        <v>42908.642314814817</v>
      </c>
      <c r="Q484" s="12"/>
      <c r="R484" s="19"/>
      <c r="S484" s="12"/>
      <c r="T484" s="12"/>
      <c r="U484" s="10" t="str">
        <f>HYPERLINK("https://pbs.twimg.com/profile_images/1011270132306497537/fLkXfy33.jpg","View")</f>
        <v>View</v>
      </c>
    </row>
    <row r="485" spans="1:21" ht="40.799999999999997">
      <c r="A485" s="6">
        <v>43427.487916666665</v>
      </c>
      <c r="B485" s="7" t="str">
        <f>HYPERLINK("https://twitter.com/IgnacioPareja","@IgnacioPareja")</f>
        <v>@IgnacioPareja</v>
      </c>
      <c r="C485" s="8" t="s">
        <v>2131</v>
      </c>
      <c r="D485" s="9" t="s">
        <v>2132</v>
      </c>
      <c r="E485" s="10" t="str">
        <f>HYPERLINK("https://twitter.com/IgnacioPareja/status/1065918531139706880","1065918531139706880")</f>
        <v>1065918531139706880</v>
      </c>
      <c r="F485" s="12"/>
      <c r="G485" s="12"/>
      <c r="H485" s="12"/>
      <c r="I485" s="13">
        <v>0</v>
      </c>
      <c r="J485" s="13">
        <v>0</v>
      </c>
      <c r="K485" s="14" t="str">
        <f t="shared" si="87"/>
        <v>Twitter Web Client</v>
      </c>
      <c r="L485" s="13">
        <v>656</v>
      </c>
      <c r="M485" s="13">
        <v>688</v>
      </c>
      <c r="N485" s="13">
        <v>0</v>
      </c>
      <c r="O485" s="15"/>
      <c r="P485" s="6">
        <v>43321.702627314815</v>
      </c>
      <c r="Q485" s="17" t="s">
        <v>29</v>
      </c>
      <c r="R485" s="18" t="s">
        <v>2133</v>
      </c>
      <c r="S485" s="12"/>
      <c r="T485" s="12"/>
      <c r="U485" s="10" t="str">
        <f>HYPERLINK("https://pbs.twimg.com/profile_images/1050791650157572097/xpZ2-jtU.jpg","View")</f>
        <v>View</v>
      </c>
    </row>
    <row r="486" spans="1:21" ht="30.6">
      <c r="A486" s="6">
        <v>43427.487557870365</v>
      </c>
      <c r="B486" s="7" t="str">
        <f>HYPERLINK("https://twitter.com/Charran_Esp","@Charran_Esp")</f>
        <v>@Charran_Esp</v>
      </c>
      <c r="C486" s="8" t="s">
        <v>2134</v>
      </c>
      <c r="D486" s="9" t="s">
        <v>2135</v>
      </c>
      <c r="E486" s="10" t="str">
        <f>HYPERLINK("https://twitter.com/Charran_Esp/status/1065918402051620864","1065918402051620864")</f>
        <v>1065918402051620864</v>
      </c>
      <c r="F486" s="11" t="s">
        <v>1809</v>
      </c>
      <c r="G486" s="12"/>
      <c r="H486" s="12"/>
      <c r="I486" s="13">
        <v>0</v>
      </c>
      <c r="J486" s="13">
        <v>0</v>
      </c>
      <c r="K486" s="14" t="str">
        <f>HYPERLINK("https://ifttt.com","IFTTT")</f>
        <v>IFTTT</v>
      </c>
      <c r="L486" s="13">
        <v>59</v>
      </c>
      <c r="M486" s="13">
        <v>71</v>
      </c>
      <c r="N486" s="13">
        <v>0</v>
      </c>
      <c r="O486" s="15"/>
      <c r="P486" s="6">
        <v>42915.451712962968</v>
      </c>
      <c r="Q486" s="17" t="s">
        <v>28</v>
      </c>
      <c r="R486" s="18" t="s">
        <v>2136</v>
      </c>
      <c r="S486" s="12"/>
      <c r="T486" s="12"/>
      <c r="U486" s="10" t="str">
        <f>HYPERLINK("https://pbs.twimg.com/profile_images/880349188244078592/vsdcBU4x.jpg","View")</f>
        <v>View</v>
      </c>
    </row>
    <row r="487" spans="1:21" ht="20.399999999999999">
      <c r="A487" s="6">
        <v>43427.487546296295</v>
      </c>
      <c r="B487" s="7" t="str">
        <f>HYPERLINK("https://twitter.com/NdiayeStephan","@NdiayeStephan")</f>
        <v>@NdiayeStephan</v>
      </c>
      <c r="C487" s="8" t="s">
        <v>2125</v>
      </c>
      <c r="D487" s="9" t="s">
        <v>2137</v>
      </c>
      <c r="E487" s="10" t="str">
        <f>HYPERLINK("https://twitter.com/NdiayeStephan/status/1065918398985584640","1065918398985584640")</f>
        <v>1065918398985584640</v>
      </c>
      <c r="F487" s="11" t="s">
        <v>2138</v>
      </c>
      <c r="G487" s="12"/>
      <c r="H487" s="12"/>
      <c r="I487" s="13">
        <v>0</v>
      </c>
      <c r="J487" s="13">
        <v>0</v>
      </c>
      <c r="K487" s="14" t="str">
        <f>HYPERLINK("http://twitter.com","Twitter Web Client")</f>
        <v>Twitter Web Client</v>
      </c>
      <c r="L487" s="13">
        <v>111</v>
      </c>
      <c r="M487" s="13">
        <v>2018</v>
      </c>
      <c r="N487" s="13">
        <v>0</v>
      </c>
      <c r="O487" s="15"/>
      <c r="P487" s="6">
        <v>43156.942627314813</v>
      </c>
      <c r="Q487" s="12"/>
      <c r="R487" s="18" t="s">
        <v>2128</v>
      </c>
      <c r="S487" s="11" t="s">
        <v>2129</v>
      </c>
      <c r="T487" s="12"/>
      <c r="U487" s="10" t="str">
        <f>HYPERLINK("https://pbs.twimg.com/profile_images/1057613144309317632/7Ar5iGKr.jpg","View")</f>
        <v>View</v>
      </c>
    </row>
    <row r="488" spans="1:21" ht="30.6">
      <c r="A488" s="6">
        <v>43427.487118055556</v>
      </c>
      <c r="B488" s="7" t="str">
        <f>HYPERLINK("https://twitter.com/galarragamiguel","@galarragamiguel")</f>
        <v>@galarragamiguel</v>
      </c>
      <c r="C488" s="8" t="s">
        <v>2139</v>
      </c>
      <c r="D488" s="9" t="s">
        <v>2140</v>
      </c>
      <c r="E488" s="10" t="str">
        <f>HYPERLINK("https://twitter.com/galarragamiguel/status/1065918242584182784","1065918242584182784")</f>
        <v>1065918242584182784</v>
      </c>
      <c r="F488" s="11" t="s">
        <v>2141</v>
      </c>
      <c r="G488" s="12"/>
      <c r="H488" s="12"/>
      <c r="I488" s="13">
        <v>0</v>
      </c>
      <c r="J488" s="13">
        <v>0</v>
      </c>
      <c r="K488" s="14" t="str">
        <f t="shared" ref="K488:K489" si="88">HYPERLINK("http://twitter.com/download/android","Twitter for Android")</f>
        <v>Twitter for Android</v>
      </c>
      <c r="L488" s="13">
        <v>1020</v>
      </c>
      <c r="M488" s="13">
        <v>2230</v>
      </c>
      <c r="N488" s="13">
        <v>4</v>
      </c>
      <c r="O488" s="15"/>
      <c r="P488" s="6">
        <v>40688.697442129633</v>
      </c>
      <c r="Q488" s="17" t="s">
        <v>2142</v>
      </c>
      <c r="R488" s="18" t="s">
        <v>2143</v>
      </c>
      <c r="S488" s="12"/>
      <c r="T488" s="12"/>
      <c r="U488" s="10" t="str">
        <f>HYPERLINK("https://pbs.twimg.com/profile_images/1050901359095111681/MLICIcdc.jpg","View")</f>
        <v>View</v>
      </c>
    </row>
    <row r="489" spans="1:21" ht="40.799999999999997">
      <c r="A489" s="6">
        <v>43427.486909722225</v>
      </c>
      <c r="B489" s="7" t="str">
        <f>HYPERLINK("https://twitter.com/JaimeAstarloa","@JaimeAstarloa")</f>
        <v>@JaimeAstarloa</v>
      </c>
      <c r="C489" s="8" t="s">
        <v>2144</v>
      </c>
      <c r="D489" s="9" t="s">
        <v>2145</v>
      </c>
      <c r="E489" s="10" t="str">
        <f>HYPERLINK("https://twitter.com/JaimeAstarloa/status/1065918167229313024","1065918167229313024")</f>
        <v>1065918167229313024</v>
      </c>
      <c r="F489" s="11" t="s">
        <v>207</v>
      </c>
      <c r="G489" s="12"/>
      <c r="H489" s="12"/>
      <c r="I489" s="13">
        <v>0</v>
      </c>
      <c r="J489" s="13">
        <v>0</v>
      </c>
      <c r="K489" s="14" t="str">
        <f t="shared" si="88"/>
        <v>Twitter for Android</v>
      </c>
      <c r="L489" s="13">
        <v>142</v>
      </c>
      <c r="M489" s="13">
        <v>363</v>
      </c>
      <c r="N489" s="13">
        <v>2</v>
      </c>
      <c r="O489" s="15"/>
      <c r="P489" s="6">
        <v>40489.04041666667</v>
      </c>
      <c r="Q489" s="12"/>
      <c r="R489" s="18" t="s">
        <v>2146</v>
      </c>
      <c r="S489" s="12"/>
      <c r="T489" s="12"/>
      <c r="U489" s="10" t="str">
        <f>HYPERLINK("https://pbs.twimg.com/profile_images/1366117287/haddock.jpeg","View")</f>
        <v>View</v>
      </c>
    </row>
    <row r="490" spans="1:21" ht="40.799999999999997">
      <c r="A490" s="6">
        <v>43427.485810185186</v>
      </c>
      <c r="B490" s="7" t="str">
        <f>HYPERLINK("https://twitter.com/VeoInfo_","@VeoInfo_")</f>
        <v>@VeoInfo_</v>
      </c>
      <c r="C490" s="8" t="s">
        <v>456</v>
      </c>
      <c r="D490" s="9" t="s">
        <v>2148</v>
      </c>
      <c r="E490" s="10" t="str">
        <f>HYPERLINK("https://twitter.com/VeoInfo_/status/1065917770695655436","1065917770695655436")</f>
        <v>1065917770695655436</v>
      </c>
      <c r="F490" s="17" t="s">
        <v>2149</v>
      </c>
      <c r="G490" s="12"/>
      <c r="H490" s="12"/>
      <c r="I490" s="13">
        <v>0</v>
      </c>
      <c r="J490" s="13">
        <v>0</v>
      </c>
      <c r="K490" s="14" t="str">
        <f>HYPERLINK("http://publicize.wp.com/","WordPress.com")</f>
        <v>WordPress.com</v>
      </c>
      <c r="L490" s="13">
        <v>1135</v>
      </c>
      <c r="M490" s="13">
        <v>1139</v>
      </c>
      <c r="N490" s="13">
        <v>36</v>
      </c>
      <c r="O490" s="15"/>
      <c r="P490" s="6">
        <v>41881.101840277777</v>
      </c>
      <c r="Q490" s="17" t="s">
        <v>459</v>
      </c>
      <c r="R490" s="18" t="s">
        <v>460</v>
      </c>
      <c r="S490" s="11" t="s">
        <v>461</v>
      </c>
      <c r="T490" s="12"/>
      <c r="U490" s="10" t="str">
        <f>HYPERLINK("https://pbs.twimg.com/profile_images/601509372305485827/Val0dfGy.png","View")</f>
        <v>View</v>
      </c>
    </row>
    <row r="491" spans="1:21" ht="40.799999999999997">
      <c r="A491" s="6">
        <v>43427.48574074074</v>
      </c>
      <c r="B491" s="7" t="str">
        <f>HYPERLINK("https://twitter.com/SIL_nacional","@SIL_nacional")</f>
        <v>@SIL_nacional</v>
      </c>
      <c r="C491" s="8" t="s">
        <v>2151</v>
      </c>
      <c r="D491" s="9" t="s">
        <v>2145</v>
      </c>
      <c r="E491" s="10" t="str">
        <f>HYPERLINK("https://twitter.com/SIL_nacional/status/1065917743000637440","1065917743000637440")</f>
        <v>1065917743000637440</v>
      </c>
      <c r="F491" s="11" t="s">
        <v>207</v>
      </c>
      <c r="G491" s="12"/>
      <c r="H491" s="12"/>
      <c r="I491" s="13">
        <v>1</v>
      </c>
      <c r="J491" s="13">
        <v>1</v>
      </c>
      <c r="K491" s="14" t="str">
        <f t="shared" ref="K491:K496" si="89">HYPERLINK("http://twitter.com/download/android","Twitter for Android")</f>
        <v>Twitter for Android</v>
      </c>
      <c r="L491" s="13">
        <v>284</v>
      </c>
      <c r="M491" s="13">
        <v>1152</v>
      </c>
      <c r="N491" s="13">
        <v>7</v>
      </c>
      <c r="O491" s="15"/>
      <c r="P491" s="6">
        <v>43279.81251157407</v>
      </c>
      <c r="Q491" s="17" t="s">
        <v>619</v>
      </c>
      <c r="R491" s="18" t="s">
        <v>2152</v>
      </c>
      <c r="S491" s="11" t="s">
        <v>2153</v>
      </c>
      <c r="T491" s="12"/>
      <c r="U491" s="10" t="str">
        <f>HYPERLINK("https://pbs.twimg.com/profile_images/1012445997945978880/2-Alix5s.jpg","View")</f>
        <v>View</v>
      </c>
    </row>
    <row r="492" spans="1:21" ht="40.799999999999997">
      <c r="A492" s="6">
        <v>43427.485694444447</v>
      </c>
      <c r="B492" s="7" t="str">
        <f>HYPERLINK("https://twitter.com/Alandalusi7","@Alandalusi7")</f>
        <v>@Alandalusi7</v>
      </c>
      <c r="C492" s="8" t="s">
        <v>2154</v>
      </c>
      <c r="D492" s="9" t="s">
        <v>2145</v>
      </c>
      <c r="E492" s="10" t="str">
        <f>HYPERLINK("https://twitter.com/Alandalusi7/status/1065917725644599297","1065917725644599297")</f>
        <v>1065917725644599297</v>
      </c>
      <c r="F492" s="11" t="s">
        <v>207</v>
      </c>
      <c r="G492" s="12"/>
      <c r="H492" s="12"/>
      <c r="I492" s="13">
        <v>0</v>
      </c>
      <c r="J492" s="13">
        <v>0</v>
      </c>
      <c r="K492" s="14" t="str">
        <f t="shared" si="89"/>
        <v>Twitter for Android</v>
      </c>
      <c r="L492" s="13">
        <v>349</v>
      </c>
      <c r="M492" s="13">
        <v>678</v>
      </c>
      <c r="N492" s="13">
        <v>30</v>
      </c>
      <c r="O492" s="15"/>
      <c r="P492" s="6">
        <v>42711.478807870371</v>
      </c>
      <c r="Q492" s="17" t="s">
        <v>2156</v>
      </c>
      <c r="R492" s="18" t="s">
        <v>2157</v>
      </c>
      <c r="S492" s="12"/>
      <c r="T492" s="12"/>
      <c r="U492" s="10" t="str">
        <f>HYPERLINK("https://pbs.twimg.com/profile_images/925471394904801280/yZ2QvZ3M.jpg","View")</f>
        <v>View</v>
      </c>
    </row>
    <row r="493" spans="1:21" ht="40.799999999999997">
      <c r="A493" s="6">
        <v>43427.485613425924</v>
      </c>
      <c r="B493" s="7" t="str">
        <f>HYPERLINK("https://twitter.com/Gualay13","@Gualay13")</f>
        <v>@Gualay13</v>
      </c>
      <c r="C493" s="8" t="s">
        <v>2158</v>
      </c>
      <c r="D493" s="9" t="s">
        <v>2145</v>
      </c>
      <c r="E493" s="10" t="str">
        <f>HYPERLINK("https://twitter.com/Gualay13/status/1065917698872406017","1065917698872406017")</f>
        <v>1065917698872406017</v>
      </c>
      <c r="F493" s="11" t="s">
        <v>207</v>
      </c>
      <c r="G493" s="12"/>
      <c r="H493" s="12"/>
      <c r="I493" s="13">
        <v>0</v>
      </c>
      <c r="J493" s="13">
        <v>1</v>
      </c>
      <c r="K493" s="14" t="str">
        <f t="shared" si="89"/>
        <v>Twitter for Android</v>
      </c>
      <c r="L493" s="13">
        <v>2251</v>
      </c>
      <c r="M493" s="13">
        <v>2986</v>
      </c>
      <c r="N493" s="13">
        <v>155</v>
      </c>
      <c r="O493" s="15"/>
      <c r="P493" s="6">
        <v>42102.978414351848</v>
      </c>
      <c r="Q493" s="17" t="s">
        <v>2159</v>
      </c>
      <c r="R493" s="18" t="s">
        <v>2160</v>
      </c>
      <c r="S493" s="11" t="s">
        <v>2153</v>
      </c>
      <c r="T493" s="12"/>
      <c r="U493" s="10" t="str">
        <f>HYPERLINK("https://pbs.twimg.com/profile_images/925455811803013121/jiDpe_Ub.jpg","View")</f>
        <v>View</v>
      </c>
    </row>
    <row r="494" spans="1:21" ht="30.6">
      <c r="A494" s="6">
        <v>43427.485532407409</v>
      </c>
      <c r="B494" s="7" t="str">
        <f>HYPERLINK("https://twitter.com/eltrenesvida","@eltrenesvida")</f>
        <v>@eltrenesvida</v>
      </c>
      <c r="C494" s="8" t="s">
        <v>2161</v>
      </c>
      <c r="D494" s="9" t="s">
        <v>2145</v>
      </c>
      <c r="E494" s="10" t="str">
        <f>HYPERLINK("https://twitter.com/eltrenesvida/status/1065917666202927104","1065917666202927104")</f>
        <v>1065917666202927104</v>
      </c>
      <c r="F494" s="11" t="s">
        <v>207</v>
      </c>
      <c r="G494" s="12"/>
      <c r="H494" s="12"/>
      <c r="I494" s="13">
        <v>0</v>
      </c>
      <c r="J494" s="13">
        <v>0</v>
      </c>
      <c r="K494" s="14" t="str">
        <f t="shared" si="89"/>
        <v>Twitter for Android</v>
      </c>
      <c r="L494" s="13">
        <v>60</v>
      </c>
      <c r="M494" s="13">
        <v>197</v>
      </c>
      <c r="N494" s="13">
        <v>1</v>
      </c>
      <c r="O494" s="15"/>
      <c r="P494" s="6">
        <v>42871.758217592593</v>
      </c>
      <c r="Q494" s="17" t="s">
        <v>2009</v>
      </c>
      <c r="R494" s="18" t="s">
        <v>2162</v>
      </c>
      <c r="S494" s="12"/>
      <c r="T494" s="12"/>
      <c r="U494" s="10" t="str">
        <f>HYPERLINK("https://pbs.twimg.com/profile_images/915667269698629634/VmfbSj67.jpg","View")</f>
        <v>View</v>
      </c>
    </row>
    <row r="495" spans="1:21" ht="40.799999999999997">
      <c r="A495" s="6">
        <v>43427.484664351854</v>
      </c>
      <c r="B495" s="7" t="str">
        <f>HYPERLINK("https://twitter.com/ESdiario_com","@ESdiario_com")</f>
        <v>@ESdiario_com</v>
      </c>
      <c r="C495" s="8" t="s">
        <v>2163</v>
      </c>
      <c r="D495" s="9" t="s">
        <v>2164</v>
      </c>
      <c r="E495" s="10" t="str">
        <f>HYPERLINK("https://twitter.com/ESdiario_com/status/1065917351386857472","1065917351386857472")</f>
        <v>1065917351386857472</v>
      </c>
      <c r="F495" s="11" t="s">
        <v>1809</v>
      </c>
      <c r="G495" s="12"/>
      <c r="H495" s="12"/>
      <c r="I495" s="13">
        <v>5</v>
      </c>
      <c r="J495" s="13">
        <v>1</v>
      </c>
      <c r="K495" s="14" t="str">
        <f t="shared" si="89"/>
        <v>Twitter for Android</v>
      </c>
      <c r="L495" s="13">
        <v>30818</v>
      </c>
      <c r="M495" s="13">
        <v>706</v>
      </c>
      <c r="N495" s="13">
        <v>494</v>
      </c>
      <c r="O495" s="15"/>
      <c r="P495" s="6">
        <v>40584.500949074078</v>
      </c>
      <c r="Q495" s="17" t="s">
        <v>27</v>
      </c>
      <c r="R495" s="18" t="s">
        <v>2165</v>
      </c>
      <c r="S495" s="11" t="s">
        <v>2166</v>
      </c>
      <c r="T495" s="12"/>
      <c r="U495" s="10" t="str">
        <f>HYPERLINK("https://pbs.twimg.com/profile_images/708363281308753920/7qh3akOb.jpg","View")</f>
        <v>View</v>
      </c>
    </row>
    <row r="496" spans="1:21" ht="40.799999999999997">
      <c r="A496" s="6">
        <v>43427.484421296293</v>
      </c>
      <c r="B496" s="7" t="str">
        <f>HYPERLINK("https://twitter.com/AntonioRNaranjo","@AntonioRNaranjo")</f>
        <v>@AntonioRNaranjo</v>
      </c>
      <c r="C496" s="8" t="s">
        <v>2167</v>
      </c>
      <c r="D496" s="9" t="s">
        <v>2164</v>
      </c>
      <c r="E496" s="10" t="str">
        <f>HYPERLINK("https://twitter.com/AntonioRNaranjo/status/1065917264610902017","1065917264610902017")</f>
        <v>1065917264610902017</v>
      </c>
      <c r="F496" s="11" t="s">
        <v>1809</v>
      </c>
      <c r="G496" s="12"/>
      <c r="H496" s="12"/>
      <c r="I496" s="13">
        <v>44</v>
      </c>
      <c r="J496" s="13">
        <v>66</v>
      </c>
      <c r="K496" s="14" t="str">
        <f t="shared" si="89"/>
        <v>Twitter for Android</v>
      </c>
      <c r="L496" s="13">
        <v>38259</v>
      </c>
      <c r="M496" s="13">
        <v>998</v>
      </c>
      <c r="N496" s="13">
        <v>724</v>
      </c>
      <c r="O496" s="15"/>
      <c r="P496" s="6">
        <v>40092.434618055559</v>
      </c>
      <c r="Q496" s="17" t="s">
        <v>2168</v>
      </c>
      <c r="R496" s="18" t="s">
        <v>2169</v>
      </c>
      <c r="S496" s="11" t="s">
        <v>2170</v>
      </c>
      <c r="T496" s="12"/>
      <c r="U496" s="10" t="str">
        <f>HYPERLINK("https://pbs.twimg.com/profile_images/914332049061883906/nDDFYCio.jpg","View")</f>
        <v>View</v>
      </c>
    </row>
    <row r="497" spans="1:21" ht="40.799999999999997">
      <c r="A497" s="6">
        <v>43427.483923611115</v>
      </c>
      <c r="B497" s="7" t="str">
        <f>HYPERLINK("https://twitter.com/mambienaccion","@mambienaccion")</f>
        <v>@mambienaccion</v>
      </c>
      <c r="C497" s="8" t="s">
        <v>2172</v>
      </c>
      <c r="D497" s="9" t="s">
        <v>2173</v>
      </c>
      <c r="E497" s="10" t="str">
        <f>HYPERLINK("https://twitter.com/mambienaccion/status/1065917085073764352","1065917085073764352")</f>
        <v>1065917085073764352</v>
      </c>
      <c r="F497" s="11" t="s">
        <v>2174</v>
      </c>
      <c r="G497" s="12"/>
      <c r="H497" s="12"/>
      <c r="I497" s="13">
        <v>0</v>
      </c>
      <c r="J497" s="13">
        <v>0</v>
      </c>
      <c r="K497" s="14" t="str">
        <f>HYPERLINK("http://www.facebook.com/twitter","Facebook")</f>
        <v>Facebook</v>
      </c>
      <c r="L497" s="13">
        <v>1076</v>
      </c>
      <c r="M497" s="13">
        <v>1035</v>
      </c>
      <c r="N497" s="13">
        <v>31</v>
      </c>
      <c r="O497" s="15"/>
      <c r="P497" s="6">
        <v>40103.950636574074</v>
      </c>
      <c r="Q497" s="17" t="s">
        <v>2175</v>
      </c>
      <c r="R497" s="18" t="s">
        <v>2176</v>
      </c>
      <c r="S497" s="11" t="s">
        <v>2177</v>
      </c>
      <c r="T497" s="12"/>
      <c r="U497" s="10" t="str">
        <f>HYPERLINK("https://pbs.twimg.com/profile_images/1103753796/19.05.08._Barcelona__2_.jpg","View")</f>
        <v>View</v>
      </c>
    </row>
    <row r="498" spans="1:21" ht="40.799999999999997">
      <c r="A498" s="6">
        <v>43427.482662037037</v>
      </c>
      <c r="B498" s="7" t="str">
        <f>HYPERLINK("https://twitter.com/valesia2","@valesia2")</f>
        <v>@valesia2</v>
      </c>
      <c r="C498" s="8" t="s">
        <v>2178</v>
      </c>
      <c r="D498" s="9" t="s">
        <v>2179</v>
      </c>
      <c r="E498" s="10" t="str">
        <f>HYPERLINK("https://twitter.com/valesia2/status/1065916629022842885","1065916629022842885")</f>
        <v>1065916629022842885</v>
      </c>
      <c r="F498" s="11" t="s">
        <v>207</v>
      </c>
      <c r="G498" s="12"/>
      <c r="H498" s="12"/>
      <c r="I498" s="13">
        <v>0</v>
      </c>
      <c r="J498" s="13">
        <v>0</v>
      </c>
      <c r="K498" s="14" t="str">
        <f>HYPERLINK("http://twitter.com","Twitter Web Client")</f>
        <v>Twitter Web Client</v>
      </c>
      <c r="L498" s="13">
        <v>1576</v>
      </c>
      <c r="M498" s="13">
        <v>1501</v>
      </c>
      <c r="N498" s="13">
        <v>5</v>
      </c>
      <c r="O498" s="15"/>
      <c r="P498" s="6">
        <v>40495.845358796294</v>
      </c>
      <c r="Q498" s="12"/>
      <c r="R498" s="18" t="s">
        <v>2180</v>
      </c>
      <c r="S498" s="12"/>
      <c r="T498" s="12"/>
      <c r="U498" s="10" t="str">
        <f>HYPERLINK("https://pbs.twimg.com/profile_images/959426220663496704/2x1GnkHD.jpg","View")</f>
        <v>View</v>
      </c>
    </row>
    <row r="499" spans="1:21" ht="40.799999999999997">
      <c r="A499" s="6">
        <v>43427.482499999998</v>
      </c>
      <c r="B499" s="7" t="str">
        <f>HYPERLINK("https://twitter.com/EconomiaED_","@EconomiaED_")</f>
        <v>@EconomiaED_</v>
      </c>
      <c r="C499" s="8" t="s">
        <v>2181</v>
      </c>
      <c r="D499" s="9" t="s">
        <v>2182</v>
      </c>
      <c r="E499" s="10" t="str">
        <f>HYPERLINK("https://twitter.com/EconomiaED_/status/1065916569962844160","1065916569962844160")</f>
        <v>1065916569962844160</v>
      </c>
      <c r="F499" s="11" t="s">
        <v>2183</v>
      </c>
      <c r="G499" s="12"/>
      <c r="H499" s="12"/>
      <c r="I499" s="13">
        <v>3</v>
      </c>
      <c r="J499" s="13">
        <v>1</v>
      </c>
      <c r="K499" s="14" t="str">
        <f>HYPERLINK("https://about.twitter.com/products/tweetdeck","TweetDeck")</f>
        <v>TweetDeck</v>
      </c>
      <c r="L499" s="13">
        <v>37659</v>
      </c>
      <c r="M499" s="13">
        <v>15</v>
      </c>
      <c r="N499" s="13">
        <v>1327</v>
      </c>
      <c r="O499" s="16" t="s">
        <v>26</v>
      </c>
      <c r="P499" s="6">
        <v>39848.703750000001</v>
      </c>
      <c r="Q499" s="17" t="s">
        <v>277</v>
      </c>
      <c r="R499" s="18" t="s">
        <v>2184</v>
      </c>
      <c r="S499" s="11" t="s">
        <v>2185</v>
      </c>
      <c r="T499" s="12"/>
      <c r="U499" s="10" t="str">
        <f>HYPERLINK("https://pbs.twimg.com/profile_images/1065647658960908290/EhoCCUFX.jpg","View")</f>
        <v>View</v>
      </c>
    </row>
    <row r="500" spans="1:21" ht="40.799999999999997">
      <c r="A500" s="6">
        <v>43427.48232638889</v>
      </c>
      <c r="B500" s="7" t="str">
        <f>HYPERLINK("https://twitter.com/mambienaccion","@mambienaccion")</f>
        <v>@mambienaccion</v>
      </c>
      <c r="C500" s="8" t="s">
        <v>2172</v>
      </c>
      <c r="D500" s="9" t="s">
        <v>2186</v>
      </c>
      <c r="E500" s="10" t="str">
        <f>HYPERLINK("https://twitter.com/mambienaccion/status/1065916504737267713","1065916504737267713")</f>
        <v>1065916504737267713</v>
      </c>
      <c r="F500" s="11" t="s">
        <v>2187</v>
      </c>
      <c r="G500" s="12"/>
      <c r="H500" s="12"/>
      <c r="I500" s="13">
        <v>0</v>
      </c>
      <c r="J500" s="13">
        <v>0</v>
      </c>
      <c r="K500" s="14" t="str">
        <f>HYPERLINK("http://twitter.com","Twitter Web Client")</f>
        <v>Twitter Web Client</v>
      </c>
      <c r="L500" s="13">
        <v>1076</v>
      </c>
      <c r="M500" s="13">
        <v>1035</v>
      </c>
      <c r="N500" s="13">
        <v>31</v>
      </c>
      <c r="O500" s="15"/>
      <c r="P500" s="6">
        <v>40103.950636574074</v>
      </c>
      <c r="Q500" s="17" t="s">
        <v>2175</v>
      </c>
      <c r="R500" s="18" t="s">
        <v>2176</v>
      </c>
      <c r="S500" s="11" t="s">
        <v>2177</v>
      </c>
      <c r="T500" s="12"/>
      <c r="U500" s="10" t="str">
        <f>HYPERLINK("https://pbs.twimg.com/profile_images/1103753796/19.05.08._Barcelona__2_.jpg","View")</f>
        <v>View</v>
      </c>
    </row>
    <row r="501" spans="1:21" ht="51">
      <c r="A501" s="6">
        <v>43427.482129629629</v>
      </c>
      <c r="B501" s="7" t="str">
        <f>HYPERLINK("https://twitter.com/LasoNestor","@LasoNestor")</f>
        <v>@LasoNestor</v>
      </c>
      <c r="C501" s="8" t="s">
        <v>1598</v>
      </c>
      <c r="D501" s="9" t="s">
        <v>2188</v>
      </c>
      <c r="E501" s="10" t="str">
        <f>HYPERLINK("https://twitter.com/LasoNestor/status/1065916436911194112","1065916436911194112")</f>
        <v>1065916436911194112</v>
      </c>
      <c r="F501" s="17" t="s">
        <v>2189</v>
      </c>
      <c r="G501" s="12"/>
      <c r="H501" s="12"/>
      <c r="I501" s="13">
        <v>0</v>
      </c>
      <c r="J501" s="13">
        <v>0</v>
      </c>
      <c r="K501" s="14" t="str">
        <f>HYPERLINK("http://twitter.com/download/android","Twitter for Android")</f>
        <v>Twitter for Android</v>
      </c>
      <c r="L501" s="13">
        <v>337</v>
      </c>
      <c r="M501" s="13">
        <v>142</v>
      </c>
      <c r="N501" s="13">
        <v>0</v>
      </c>
      <c r="O501" s="15"/>
      <c r="P501" s="6">
        <v>43390.916284722218</v>
      </c>
      <c r="Q501" s="17" t="s">
        <v>28</v>
      </c>
      <c r="R501" s="18" t="s">
        <v>1600</v>
      </c>
      <c r="S501" s="12"/>
      <c r="T501" s="12"/>
      <c r="U501" s="10" t="str">
        <f>HYPERLINK("https://pbs.twimg.com/profile_images/1054039893435932673/5Z1wf78J.jpg","View")</f>
        <v>View</v>
      </c>
    </row>
    <row r="502" spans="1:21" ht="30.6">
      <c r="A502" s="6">
        <v>43427.482002314813</v>
      </c>
      <c r="B502" s="7" t="str">
        <f>HYPERLINK("https://twitter.com/Noticias_41","@Noticias_41")</f>
        <v>@Noticias_41</v>
      </c>
      <c r="C502" s="8" t="s">
        <v>2190</v>
      </c>
      <c r="D502" s="9" t="s">
        <v>2191</v>
      </c>
      <c r="E502" s="10" t="str">
        <f>HYPERLINK("https://twitter.com/Noticias_41/status/1065916387476918273","1065916387476918273")</f>
        <v>1065916387476918273</v>
      </c>
      <c r="F502" s="11" t="s">
        <v>2192</v>
      </c>
      <c r="G502" s="11" t="s">
        <v>2193</v>
      </c>
      <c r="H502" s="12"/>
      <c r="I502" s="13">
        <v>0</v>
      </c>
      <c r="J502" s="13">
        <v>0</v>
      </c>
      <c r="K502" s="14" t="str">
        <f>HYPERLINK("https://dlvrit.com/","dlvr.it")</f>
        <v>dlvr.it</v>
      </c>
      <c r="L502" s="13">
        <v>6029</v>
      </c>
      <c r="M502" s="13">
        <v>1089</v>
      </c>
      <c r="N502" s="13">
        <v>80</v>
      </c>
      <c r="O502" s="15"/>
      <c r="P502" s="6">
        <v>39987.787094907406</v>
      </c>
      <c r="Q502" s="17" t="s">
        <v>2194</v>
      </c>
      <c r="R502" s="18" t="s">
        <v>2195</v>
      </c>
      <c r="S502" s="11" t="s">
        <v>2196</v>
      </c>
      <c r="T502" s="12"/>
      <c r="U502" s="10" t="str">
        <f>HYPERLINK("https://pbs.twimg.com/profile_images/1746398130/twitter.JPG","View")</f>
        <v>View</v>
      </c>
    </row>
    <row r="503" spans="1:21" ht="30.6">
      <c r="A503" s="6">
        <v>43427.481921296298</v>
      </c>
      <c r="B503" s="7" t="str">
        <f>HYPERLINK("https://twitter.com/valesia2","@valesia2")</f>
        <v>@valesia2</v>
      </c>
      <c r="C503" s="8" t="s">
        <v>2178</v>
      </c>
      <c r="D503" s="9" t="s">
        <v>2197</v>
      </c>
      <c r="E503" s="10" t="str">
        <f>HYPERLINK("https://twitter.com/valesia2/status/1065916357336854534","1065916357336854534")</f>
        <v>1065916357336854534</v>
      </c>
      <c r="F503" s="11" t="s">
        <v>2198</v>
      </c>
      <c r="G503" s="12"/>
      <c r="H503" s="12"/>
      <c r="I503" s="13">
        <v>0</v>
      </c>
      <c r="J503" s="13">
        <v>0</v>
      </c>
      <c r="K503" s="14" t="str">
        <f t="shared" ref="K503:K504" si="90">HYPERLINK("http://twitter.com","Twitter Web Client")</f>
        <v>Twitter Web Client</v>
      </c>
      <c r="L503" s="13">
        <v>1576</v>
      </c>
      <c r="M503" s="13">
        <v>1501</v>
      </c>
      <c r="N503" s="13">
        <v>5</v>
      </c>
      <c r="O503" s="15"/>
      <c r="P503" s="6">
        <v>40495.845358796294</v>
      </c>
      <c r="Q503" s="12"/>
      <c r="R503" s="18" t="s">
        <v>2180</v>
      </c>
      <c r="S503" s="12"/>
      <c r="T503" s="12"/>
      <c r="U503" s="10" t="str">
        <f>HYPERLINK("https://pbs.twimg.com/profile_images/959426220663496704/2x1GnkHD.jpg","View")</f>
        <v>View</v>
      </c>
    </row>
    <row r="504" spans="1:21" ht="81.599999999999994">
      <c r="A504" s="6">
        <v>43427.480752314819</v>
      </c>
      <c r="B504" s="7" t="str">
        <f>HYPERLINK("https://twitter.com/Dugall1","@Dugall1")</f>
        <v>@Dugall1</v>
      </c>
      <c r="C504" s="8" t="s">
        <v>2199</v>
      </c>
      <c r="D504" s="9" t="s">
        <v>2200</v>
      </c>
      <c r="E504" s="10" t="str">
        <f>HYPERLINK("https://twitter.com/Dugall1/status/1065915937784823808","1065915937784823808")</f>
        <v>1065915937784823808</v>
      </c>
      <c r="F504" s="11" t="s">
        <v>120</v>
      </c>
      <c r="G504" s="12"/>
      <c r="H504" s="12"/>
      <c r="I504" s="13">
        <v>0</v>
      </c>
      <c r="J504" s="13">
        <v>0</v>
      </c>
      <c r="K504" s="14" t="str">
        <f t="shared" si="90"/>
        <v>Twitter Web Client</v>
      </c>
      <c r="L504" s="13">
        <v>2756</v>
      </c>
      <c r="M504" s="13">
        <v>4046</v>
      </c>
      <c r="N504" s="13">
        <v>9</v>
      </c>
      <c r="O504" s="15"/>
      <c r="P504" s="6">
        <v>41146.736828703702</v>
      </c>
      <c r="Q504" s="12"/>
      <c r="R504" s="18" t="s">
        <v>2201</v>
      </c>
      <c r="S504" s="12"/>
      <c r="T504" s="12"/>
      <c r="U504" s="10" t="str">
        <f>HYPERLINK("https://pbs.twimg.com/profile_images/1029234029286096896/IDlX8dNX.jpg","View")</f>
        <v>View</v>
      </c>
    </row>
    <row r="505" spans="1:21" ht="13.2">
      <c r="A505" s="6">
        <v>43427.48065972222</v>
      </c>
      <c r="B505" s="7" t="str">
        <f>HYPERLINK("https://twitter.com/Alexcruzjun","@Alexcruzjun")</f>
        <v>@Alexcruzjun</v>
      </c>
      <c r="C505" s="8" t="s">
        <v>2202</v>
      </c>
      <c r="D505" s="9" t="s">
        <v>1860</v>
      </c>
      <c r="E505" s="10" t="str">
        <f>HYPERLINK("https://twitter.com/Alexcruzjun/status/1065915901046898689","1065915901046898689")</f>
        <v>1065915901046898689</v>
      </c>
      <c r="F505" s="11" t="s">
        <v>751</v>
      </c>
      <c r="G505" s="12"/>
      <c r="H505" s="12"/>
      <c r="I505" s="13">
        <v>0</v>
      </c>
      <c r="J505" s="13">
        <v>0</v>
      </c>
      <c r="K505" s="14" t="str">
        <f>HYPERLINK("http://twitter.com/download/iphone","Twitter for iPhone")</f>
        <v>Twitter for iPhone</v>
      </c>
      <c r="L505" s="13">
        <v>68</v>
      </c>
      <c r="M505" s="13">
        <v>102</v>
      </c>
      <c r="N505" s="13">
        <v>4</v>
      </c>
      <c r="O505" s="15"/>
      <c r="P505" s="6">
        <v>42108.084502314814</v>
      </c>
      <c r="Q505" s="17" t="s">
        <v>2203</v>
      </c>
      <c r="R505" s="18" t="s">
        <v>2204</v>
      </c>
      <c r="S505" s="12"/>
      <c r="T505" s="12"/>
      <c r="U505" s="10" t="str">
        <f>HYPERLINK("https://pbs.twimg.com/profile_images/851074591812464643/_lfpJerN.jpg","View")</f>
        <v>View</v>
      </c>
    </row>
    <row r="506" spans="1:21" ht="20.399999999999999">
      <c r="A506" s="6">
        <v>43427.480486111112</v>
      </c>
      <c r="B506" s="7" t="str">
        <f>HYPERLINK("https://twitter.com/drak1960","@drak1960")</f>
        <v>@drak1960</v>
      </c>
      <c r="C506" s="8" t="s">
        <v>2206</v>
      </c>
      <c r="D506" s="9" t="s">
        <v>2207</v>
      </c>
      <c r="E506" s="10" t="str">
        <f>HYPERLINK("https://twitter.com/drak1960/status/1065915840875438081","1065915840875438081")</f>
        <v>1065915840875438081</v>
      </c>
      <c r="F506" s="11" t="s">
        <v>2208</v>
      </c>
      <c r="G506" s="12"/>
      <c r="H506" s="12"/>
      <c r="I506" s="13">
        <v>0</v>
      </c>
      <c r="J506" s="13">
        <v>0</v>
      </c>
      <c r="K506" s="14" t="str">
        <f>HYPERLINK("https://www.google.com/","Google")</f>
        <v>Google</v>
      </c>
      <c r="L506" s="13">
        <v>359</v>
      </c>
      <c r="M506" s="13">
        <v>1782</v>
      </c>
      <c r="N506" s="13">
        <v>24</v>
      </c>
      <c r="O506" s="15"/>
      <c r="P506" s="6">
        <v>40141.757245370369</v>
      </c>
      <c r="Q506" s="17" t="s">
        <v>202</v>
      </c>
      <c r="R506" s="19"/>
      <c r="S506" s="12"/>
      <c r="T506" s="12"/>
      <c r="U506" s="10" t="str">
        <f>HYPERLINK("https://pbs.twimg.com/profile_images/569800410253512704/MWPCw1DE.jpeg","View")</f>
        <v>View</v>
      </c>
    </row>
    <row r="507" spans="1:21" ht="20.399999999999999">
      <c r="A507" s="6">
        <v>43427.480034722219</v>
      </c>
      <c r="B507" s="7" t="str">
        <f>HYPERLINK("https://twitter.com/Jorosa47","@Jorosa47")</f>
        <v>@Jorosa47</v>
      </c>
      <c r="C507" s="8" t="s">
        <v>1170</v>
      </c>
      <c r="D507" s="9" t="s">
        <v>2110</v>
      </c>
      <c r="E507" s="10" t="str">
        <f>HYPERLINK("https://twitter.com/Jorosa47/status/1065915674432872448","1065915674432872448")</f>
        <v>1065915674432872448</v>
      </c>
      <c r="F507" s="11" t="s">
        <v>269</v>
      </c>
      <c r="G507" s="12"/>
      <c r="H507" s="12"/>
      <c r="I507" s="13">
        <v>0</v>
      </c>
      <c r="J507" s="13">
        <v>0</v>
      </c>
      <c r="K507" s="14" t="str">
        <f>HYPERLINK("http://twitter.com/download/android","Twitter for Android")</f>
        <v>Twitter for Android</v>
      </c>
      <c r="L507" s="13">
        <v>664</v>
      </c>
      <c r="M507" s="13">
        <v>663</v>
      </c>
      <c r="N507" s="13">
        <v>3</v>
      </c>
      <c r="O507" s="15"/>
      <c r="P507" s="6">
        <v>42433.491261574076</v>
      </c>
      <c r="Q507" s="12"/>
      <c r="R507" s="18" t="s">
        <v>1173</v>
      </c>
      <c r="S507" s="12"/>
      <c r="T507" s="12"/>
      <c r="U507" s="10" t="str">
        <f>HYPERLINK("https://pbs.twimg.com/profile_images/982553609811439616/3TISSh9b.jpg","View")</f>
        <v>View</v>
      </c>
    </row>
    <row r="508" spans="1:21" ht="30.6">
      <c r="A508" s="6">
        <v>43427.479699074072</v>
      </c>
      <c r="B508" s="7" t="str">
        <f>HYPERLINK("https://twitter.com/JuventudRebelde","@JuventudRebelde")</f>
        <v>@JuventudRebelde</v>
      </c>
      <c r="C508" s="8" t="s">
        <v>2209</v>
      </c>
      <c r="D508" s="9" t="s">
        <v>2210</v>
      </c>
      <c r="E508" s="10" t="str">
        <f>HYPERLINK("https://twitter.com/JuventudRebelde/status/1065915553582379009","1065915553582379009")</f>
        <v>1065915553582379009</v>
      </c>
      <c r="F508" s="11" t="s">
        <v>1838</v>
      </c>
      <c r="G508" s="11" t="s">
        <v>2211</v>
      </c>
      <c r="H508" s="12"/>
      <c r="I508" s="13">
        <v>9</v>
      </c>
      <c r="J508" s="13">
        <v>10</v>
      </c>
      <c r="K508" s="14" t="str">
        <f>HYPERLINK("https://about.twitter.com/products/tweetdeck","TweetDeck")</f>
        <v>TweetDeck</v>
      </c>
      <c r="L508" s="13">
        <v>59626</v>
      </c>
      <c r="M508" s="13">
        <v>719</v>
      </c>
      <c r="N508" s="13">
        <v>714</v>
      </c>
      <c r="O508" s="15"/>
      <c r="P508" s="6">
        <v>39873.181828703702</v>
      </c>
      <c r="Q508" s="17" t="s">
        <v>1282</v>
      </c>
      <c r="R508" s="18" t="s">
        <v>2212</v>
      </c>
      <c r="S508" s="11" t="s">
        <v>2213</v>
      </c>
      <c r="T508" s="12"/>
      <c r="U508" s="10" t="str">
        <f>HYPERLINK("https://pbs.twimg.com/profile_images/773566370739023872/Gmiv_jX_.jpg","View")</f>
        <v>View</v>
      </c>
    </row>
    <row r="509" spans="1:21" ht="20.399999999999999">
      <c r="A509" s="6">
        <v>43427.479351851856</v>
      </c>
      <c r="B509" s="7" t="str">
        <f>HYPERLINK("https://twitter.com/AngelMCarpena","@AngelMCarpena")</f>
        <v>@AngelMCarpena</v>
      </c>
      <c r="C509" s="8" t="s">
        <v>2214</v>
      </c>
      <c r="D509" s="9" t="s">
        <v>2215</v>
      </c>
      <c r="E509" s="10" t="str">
        <f>HYPERLINK("https://twitter.com/AngelMCarpena/status/1065915427207958528","1065915427207958528")</f>
        <v>1065915427207958528</v>
      </c>
      <c r="F509" s="11" t="s">
        <v>2216</v>
      </c>
      <c r="G509" s="12"/>
      <c r="H509" s="12"/>
      <c r="I509" s="13">
        <v>0</v>
      </c>
      <c r="J509" s="13">
        <v>0</v>
      </c>
      <c r="K509" s="14" t="str">
        <f>HYPERLINK("http://twitter.com","Twitter Web Client")</f>
        <v>Twitter Web Client</v>
      </c>
      <c r="L509" s="13">
        <v>580</v>
      </c>
      <c r="M509" s="13">
        <v>332</v>
      </c>
      <c r="N509" s="13">
        <v>4</v>
      </c>
      <c r="O509" s="15"/>
      <c r="P509" s="6">
        <v>40667.749328703707</v>
      </c>
      <c r="Q509" s="12"/>
      <c r="R509" s="19"/>
      <c r="S509" s="12"/>
      <c r="T509" s="12"/>
      <c r="U509" s="10" t="str">
        <f>HYPERLINK("https://pbs.twimg.com/profile_images/378800000829479140/62bdfd2d295d68fe027f4b2841b83178.jpeg","View")</f>
        <v>View</v>
      </c>
    </row>
    <row r="510" spans="1:21" ht="20.399999999999999">
      <c r="A510" s="6">
        <v>43427.479120370372</v>
      </c>
      <c r="B510" s="7" t="str">
        <f>HYPERLINK("https://twitter.com/ardidalanza","@ardidalanza")</f>
        <v>@ardidalanza</v>
      </c>
      <c r="C510" s="24" t="s">
        <v>2217</v>
      </c>
      <c r="D510" s="9" t="s">
        <v>2218</v>
      </c>
      <c r="E510" s="10" t="str">
        <f>HYPERLINK("https://twitter.com/ardidalanza/status/1065915344492118016","1065915344492118016")</f>
        <v>1065915344492118016</v>
      </c>
      <c r="F510" s="11" t="s">
        <v>753</v>
      </c>
      <c r="G510" s="12"/>
      <c r="H510" s="12"/>
      <c r="I510" s="13">
        <v>0</v>
      </c>
      <c r="J510" s="13">
        <v>0</v>
      </c>
      <c r="K510" s="14" t="str">
        <f>HYPERLINK("http://www.facebook.com/twitter","Facebook")</f>
        <v>Facebook</v>
      </c>
      <c r="L510" s="13">
        <v>351</v>
      </c>
      <c r="M510" s="13">
        <v>674</v>
      </c>
      <c r="N510" s="13">
        <v>16</v>
      </c>
      <c r="O510" s="15"/>
      <c r="P510" s="6">
        <v>40557.682928240742</v>
      </c>
      <c r="Q510" s="17" t="s">
        <v>2219</v>
      </c>
      <c r="R510" s="18" t="s">
        <v>2220</v>
      </c>
      <c r="S510" s="12"/>
      <c r="T510" s="12"/>
      <c r="U510" s="10" t="str">
        <f>HYPERLINK("https://pbs.twimg.com/profile_images/803634927682076672/NZcWUFFI.jpg","View")</f>
        <v>View</v>
      </c>
    </row>
    <row r="511" spans="1:21" ht="30.6">
      <c r="A511" s="6">
        <v>43427.477789351848</v>
      </c>
      <c r="B511" s="7" t="str">
        <f>HYPERLINK("https://twitter.com/marserranog","@marserranog")</f>
        <v>@marserranog</v>
      </c>
      <c r="C511" s="8" t="s">
        <v>2221</v>
      </c>
      <c r="D511" s="9" t="s">
        <v>2222</v>
      </c>
      <c r="E511" s="10" t="str">
        <f>HYPERLINK("https://twitter.com/marserranog/status/1065914861929009152","1065914861929009152")</f>
        <v>1065914861929009152</v>
      </c>
      <c r="F511" s="11" t="s">
        <v>1804</v>
      </c>
      <c r="G511" s="12"/>
      <c r="H511" s="12"/>
      <c r="I511" s="13">
        <v>0</v>
      </c>
      <c r="J511" s="13">
        <v>0</v>
      </c>
      <c r="K511" s="14" t="str">
        <f>HYPERLINK("http://twitter.com/download/iphone","Twitter for iPhone")</f>
        <v>Twitter for iPhone</v>
      </c>
      <c r="L511" s="13">
        <v>467</v>
      </c>
      <c r="M511" s="13">
        <v>306</v>
      </c>
      <c r="N511" s="13">
        <v>4</v>
      </c>
      <c r="O511" s="15"/>
      <c r="P511" s="6">
        <v>40918.777974537035</v>
      </c>
      <c r="Q511" s="17" t="s">
        <v>2223</v>
      </c>
      <c r="R511" s="18" t="s">
        <v>2224</v>
      </c>
      <c r="S511" s="12"/>
      <c r="T511" s="12"/>
      <c r="U511" s="10" t="str">
        <f>HYPERLINK("https://pbs.twimg.com/profile_images/1057749341518159874/eTnrfoGw.jpg","View")</f>
        <v>View</v>
      </c>
    </row>
    <row r="512" spans="1:21" ht="20.399999999999999">
      <c r="A512" s="6">
        <v>43427.47761574074</v>
      </c>
      <c r="B512" s="7" t="str">
        <f>HYPERLINK("https://twitter.com/JulioGanguita","@JulioGanguita")</f>
        <v>@JulioGanguita</v>
      </c>
      <c r="C512" s="8" t="s">
        <v>2225</v>
      </c>
      <c r="D512" s="9" t="s">
        <v>2226</v>
      </c>
      <c r="E512" s="10" t="str">
        <f>HYPERLINK("https://twitter.com/JulioGanguita/status/1065914798704087040","1065914798704087040")</f>
        <v>1065914798704087040</v>
      </c>
      <c r="F512" s="11" t="s">
        <v>2227</v>
      </c>
      <c r="G512" s="12"/>
      <c r="H512" s="12"/>
      <c r="I512" s="13">
        <v>0</v>
      </c>
      <c r="J512" s="13">
        <v>0</v>
      </c>
      <c r="K512" s="14" t="str">
        <f>HYPERLINK("https://ifttt.com","IFTTT")</f>
        <v>IFTTT</v>
      </c>
      <c r="L512" s="13">
        <v>970</v>
      </c>
      <c r="M512" s="13">
        <v>1608</v>
      </c>
      <c r="N512" s="13">
        <v>3</v>
      </c>
      <c r="O512" s="15"/>
      <c r="P512" s="6">
        <v>41982.543564814812</v>
      </c>
      <c r="Q512" s="17" t="s">
        <v>2228</v>
      </c>
      <c r="R512" s="18" t="s">
        <v>2229</v>
      </c>
      <c r="S512" s="12"/>
      <c r="T512" s="12"/>
      <c r="U512" s="10" t="str">
        <f>HYPERLINK("https://pbs.twimg.com/profile_images/859057418386497536/1I406mDG.jpg","View")</f>
        <v>View</v>
      </c>
    </row>
    <row r="513" spans="1:21" ht="20.399999999999999">
      <c r="A513" s="6">
        <v>43427.47755787037</v>
      </c>
      <c r="B513" s="7" t="str">
        <f>HYPERLINK("https://twitter.com/Alfacebook64","@Alfacebook64")</f>
        <v>@Alfacebook64</v>
      </c>
      <c r="C513" s="8" t="s">
        <v>2017</v>
      </c>
      <c r="D513" s="9" t="s">
        <v>2230</v>
      </c>
      <c r="E513" s="10" t="str">
        <f>HYPERLINK("https://twitter.com/Alfacebook64/status/1065914776050720768","1065914776050720768")</f>
        <v>1065914776050720768</v>
      </c>
      <c r="F513" s="11" t="s">
        <v>2231</v>
      </c>
      <c r="G513" s="12"/>
      <c r="H513" s="12"/>
      <c r="I513" s="13">
        <v>3</v>
      </c>
      <c r="J513" s="13">
        <v>3</v>
      </c>
      <c r="K513" s="14" t="str">
        <f>HYPERLINK("http://twitter.com","Twitter Web Client")</f>
        <v>Twitter Web Client</v>
      </c>
      <c r="L513" s="13">
        <v>4225</v>
      </c>
      <c r="M513" s="13">
        <v>3499</v>
      </c>
      <c r="N513" s="13">
        <v>39</v>
      </c>
      <c r="O513" s="15"/>
      <c r="P513" s="6">
        <v>42189.951504629629</v>
      </c>
      <c r="Q513" s="17" t="s">
        <v>2019</v>
      </c>
      <c r="R513" s="18" t="s">
        <v>2020</v>
      </c>
      <c r="S513" s="12"/>
      <c r="T513" s="12"/>
      <c r="U513" s="10" t="str">
        <f>HYPERLINK("https://pbs.twimg.com/profile_images/636562609811099648/TOG_sQjr.jpg","View")</f>
        <v>View</v>
      </c>
    </row>
    <row r="514" spans="1:21" ht="20.399999999999999">
      <c r="A514" s="6">
        <v>43427.47724537037</v>
      </c>
      <c r="B514" s="7" t="str">
        <f>HYPERLINK("https://twitter.com/cuaquers","@cuaquers")</f>
        <v>@cuaquers</v>
      </c>
      <c r="C514" s="8" t="s">
        <v>2232</v>
      </c>
      <c r="D514" s="9" t="s">
        <v>2233</v>
      </c>
      <c r="E514" s="10" t="str">
        <f>HYPERLINK("https://twitter.com/cuaquers/status/1065914666050904065","1065914666050904065")</f>
        <v>1065914666050904065</v>
      </c>
      <c r="F514" s="12"/>
      <c r="G514" s="12"/>
      <c r="H514" s="12"/>
      <c r="I514" s="13">
        <v>0</v>
      </c>
      <c r="J514" s="13">
        <v>11</v>
      </c>
      <c r="K514" s="14" t="str">
        <f>HYPERLINK("https://about.twitter.com/products/tweetdeck","TweetDeck")</f>
        <v>TweetDeck</v>
      </c>
      <c r="L514" s="13">
        <v>2212</v>
      </c>
      <c r="M514" s="13">
        <v>400</v>
      </c>
      <c r="N514" s="13">
        <v>45</v>
      </c>
      <c r="O514" s="15"/>
      <c r="P514" s="6">
        <v>41490.78288194444</v>
      </c>
      <c r="Q514" s="17" t="s">
        <v>2234</v>
      </c>
      <c r="R514" s="18" t="s">
        <v>2235</v>
      </c>
      <c r="S514" s="11" t="s">
        <v>2236</v>
      </c>
      <c r="T514" s="12"/>
      <c r="U514" s="10" t="str">
        <f>HYPERLINK("https://pbs.twimg.com/profile_images/1059415917409509377/b_lEd8JG.png","View")</f>
        <v>View</v>
      </c>
    </row>
    <row r="515" spans="1:21" ht="30.6">
      <c r="A515" s="6">
        <v>43427.476655092592</v>
      </c>
      <c r="B515" s="7" t="str">
        <f>HYPERLINK("https://twitter.com/J_ParraG","@J_ParraG")</f>
        <v>@J_ParraG</v>
      </c>
      <c r="C515" s="8" t="s">
        <v>2237</v>
      </c>
      <c r="D515" s="9" t="s">
        <v>1775</v>
      </c>
      <c r="E515" s="10" t="str">
        <f>HYPERLINK("https://twitter.com/J_ParraG/status/1065914450077732864","1065914450077732864")</f>
        <v>1065914450077732864</v>
      </c>
      <c r="F515" s="11" t="s">
        <v>1776</v>
      </c>
      <c r="G515" s="12"/>
      <c r="H515" s="12"/>
      <c r="I515" s="13">
        <v>3</v>
      </c>
      <c r="J515" s="13">
        <v>2</v>
      </c>
      <c r="K515" s="14" t="str">
        <f>HYPERLINK("http://twitter.com/download/android","Twitter for Android")</f>
        <v>Twitter for Android</v>
      </c>
      <c r="L515" s="13">
        <v>380</v>
      </c>
      <c r="M515" s="13">
        <v>967</v>
      </c>
      <c r="N515" s="13">
        <v>14</v>
      </c>
      <c r="O515" s="15"/>
      <c r="P515" s="6">
        <v>40918.953576388885</v>
      </c>
      <c r="Q515" s="17" t="s">
        <v>2238</v>
      </c>
      <c r="R515" s="18" t="s">
        <v>2239</v>
      </c>
      <c r="S515" s="12"/>
      <c r="T515" s="12"/>
      <c r="U515" s="10" t="str">
        <f>HYPERLINK("https://pbs.twimg.com/profile_images/1048291555134656513/KPn63Fw4.jpg","View")</f>
        <v>View</v>
      </c>
    </row>
    <row r="516" spans="1:21" ht="13.2">
      <c r="A516" s="6">
        <v>43427.476423611108</v>
      </c>
      <c r="B516" s="7" t="str">
        <f>HYPERLINK("https://twitter.com/pepegrillolisto","@pepegrillolisto")</f>
        <v>@pepegrillolisto</v>
      </c>
      <c r="C516" s="8" t="s">
        <v>2240</v>
      </c>
      <c r="D516" s="9" t="s">
        <v>2091</v>
      </c>
      <c r="E516" s="10" t="str">
        <f>HYPERLINK("https://twitter.com/pepegrillolisto/status/1065914368657932288","1065914368657932288")</f>
        <v>1065914368657932288</v>
      </c>
      <c r="F516" s="11" t="s">
        <v>2092</v>
      </c>
      <c r="G516" s="12"/>
      <c r="H516" s="12"/>
      <c r="I516" s="13">
        <v>0</v>
      </c>
      <c r="J516" s="13">
        <v>0</v>
      </c>
      <c r="K516" s="14" t="str">
        <f>HYPERLINK("http://twitter.com","Twitter Web Client")</f>
        <v>Twitter Web Client</v>
      </c>
      <c r="L516" s="13">
        <v>9</v>
      </c>
      <c r="M516" s="13">
        <v>59</v>
      </c>
      <c r="N516" s="13">
        <v>0</v>
      </c>
      <c r="O516" s="15"/>
      <c r="P516" s="6">
        <v>42120.545335648145</v>
      </c>
      <c r="Q516" s="12"/>
      <c r="R516" s="19"/>
      <c r="S516" s="12"/>
      <c r="T516" s="12"/>
      <c r="U516" s="10" t="str">
        <f>HYPERLINK("https://pbs.twimg.com/profile_images/592284070815657984/Dom41Ocz.jpg","View")</f>
        <v>View</v>
      </c>
    </row>
    <row r="517" spans="1:21" ht="30.6">
      <c r="A517" s="6">
        <v>43427.475949074069</v>
      </c>
      <c r="B517" s="7" t="str">
        <f>HYPERLINK("https://twitter.com/aquilavida","@aquilavida")</f>
        <v>@aquilavida</v>
      </c>
      <c r="C517" s="8" t="s">
        <v>2241</v>
      </c>
      <c r="D517" s="9" t="s">
        <v>2242</v>
      </c>
      <c r="E517" s="10" t="str">
        <f>HYPERLINK("https://twitter.com/aquilavida/status/1065914194573312000","1065914194573312000")</f>
        <v>1065914194573312000</v>
      </c>
      <c r="F517" s="11" t="s">
        <v>2243</v>
      </c>
      <c r="G517" s="12"/>
      <c r="H517" s="12"/>
      <c r="I517" s="13">
        <v>0</v>
      </c>
      <c r="J517" s="13">
        <v>0</v>
      </c>
      <c r="K517" s="14" t="str">
        <f>HYPERLINK("https://ifttt.com","IFTTT")</f>
        <v>IFTTT</v>
      </c>
      <c r="L517" s="13">
        <v>240</v>
      </c>
      <c r="M517" s="13">
        <v>233</v>
      </c>
      <c r="N517" s="13">
        <v>55</v>
      </c>
      <c r="O517" s="15"/>
      <c r="P517" s="6">
        <v>40665.698576388888</v>
      </c>
      <c r="Q517" s="17" t="s">
        <v>72</v>
      </c>
      <c r="R517" s="18" t="s">
        <v>2244</v>
      </c>
      <c r="S517" s="12"/>
      <c r="T517" s="12"/>
      <c r="U517" s="10" t="str">
        <f>HYPERLINK("https://pbs.twimg.com/profile_images/1658515048/image.jpg","View")</f>
        <v>View</v>
      </c>
    </row>
    <row r="518" spans="1:21" ht="30.6">
      <c r="A518" s="6">
        <v>43427.474259259259</v>
      </c>
      <c r="B518" s="7" t="str">
        <f>HYPERLINK("https://twitter.com/RadioGalega","@RadioGalega")</f>
        <v>@RadioGalega</v>
      </c>
      <c r="C518" s="8" t="s">
        <v>2245</v>
      </c>
      <c r="D518" s="9" t="s">
        <v>2246</v>
      </c>
      <c r="E518" s="10" t="str">
        <f>HYPERLINK("https://twitter.com/RadioGalega/status/1065913582892867585","1065913582892867585")</f>
        <v>1065913582892867585</v>
      </c>
      <c r="F518" s="11" t="s">
        <v>2247</v>
      </c>
      <c r="G518" s="12"/>
      <c r="H518" s="12"/>
      <c r="I518" s="13">
        <v>0</v>
      </c>
      <c r="J518" s="13">
        <v>0</v>
      </c>
      <c r="K518" s="14" t="str">
        <f t="shared" ref="K518:K520" si="91">HYPERLINK("http://twitter.com","Twitter Web Client")</f>
        <v>Twitter Web Client</v>
      </c>
      <c r="L518" s="13">
        <v>16686</v>
      </c>
      <c r="M518" s="13">
        <v>1557</v>
      </c>
      <c r="N518" s="13">
        <v>225</v>
      </c>
      <c r="O518" s="16" t="s">
        <v>26</v>
      </c>
      <c r="P518" s="6">
        <v>41612.529317129629</v>
      </c>
      <c r="Q518" s="17" t="s">
        <v>826</v>
      </c>
      <c r="R518" s="18" t="s">
        <v>2248</v>
      </c>
      <c r="S518" s="11" t="s">
        <v>2249</v>
      </c>
      <c r="T518" s="12"/>
      <c r="U518" s="10" t="str">
        <f>HYPERLINK("https://pbs.twimg.com/profile_images/1009732026516344833/UH0PLQwz.jpg","View")</f>
        <v>View</v>
      </c>
    </row>
    <row r="519" spans="1:21" ht="61.2">
      <c r="A519" s="6">
        <v>43427.474259259259</v>
      </c>
      <c r="B519" s="7" t="str">
        <f>HYPERLINK("https://twitter.com/AngelBaena5","@AngelBaena5")</f>
        <v>@AngelBaena5</v>
      </c>
      <c r="C519" s="8" t="s">
        <v>2250</v>
      </c>
      <c r="D519" s="9" t="s">
        <v>2251</v>
      </c>
      <c r="E519" s="10" t="str">
        <f>HYPERLINK("https://twitter.com/AngelBaena5/status/1065913581789679616","1065913581789679616")</f>
        <v>1065913581789679616</v>
      </c>
      <c r="F519" s="17" t="s">
        <v>2252</v>
      </c>
      <c r="G519" s="12"/>
      <c r="H519" s="12"/>
      <c r="I519" s="13">
        <v>3</v>
      </c>
      <c r="J519" s="13">
        <v>4</v>
      </c>
      <c r="K519" s="14" t="str">
        <f t="shared" si="91"/>
        <v>Twitter Web Client</v>
      </c>
      <c r="L519" s="13">
        <v>5356</v>
      </c>
      <c r="M519" s="13">
        <v>2725</v>
      </c>
      <c r="N519" s="13">
        <v>32</v>
      </c>
      <c r="O519" s="15"/>
      <c r="P519" s="6">
        <v>41603.768333333333</v>
      </c>
      <c r="Q519" s="17" t="s">
        <v>202</v>
      </c>
      <c r="R519" s="18" t="s">
        <v>2253</v>
      </c>
      <c r="S519" s="12"/>
      <c r="T519" s="12"/>
      <c r="U519" s="10" t="str">
        <f>HYPERLINK("https://pbs.twimg.com/profile_images/378800000789831899/83471b78a5be2040937c8f90ba9b5fa8.jpeg","View")</f>
        <v>View</v>
      </c>
    </row>
    <row r="520" spans="1:21" ht="30.6">
      <c r="A520" s="6">
        <v>43427.474027777775</v>
      </c>
      <c r="B520" s="7" t="str">
        <f>HYPERLINK("https://twitter.com/AitonaCabreado","@AitonaCabreado")</f>
        <v>@AitonaCabreado</v>
      </c>
      <c r="C520" s="8" t="s">
        <v>2254</v>
      </c>
      <c r="D520" s="9" t="s">
        <v>2255</v>
      </c>
      <c r="E520" s="10" t="str">
        <f>HYPERLINK("https://twitter.com/AitonaCabreado/status/1065913496901230592","1065913496901230592")</f>
        <v>1065913496901230592</v>
      </c>
      <c r="F520" s="11" t="s">
        <v>2256</v>
      </c>
      <c r="G520" s="12"/>
      <c r="H520" s="12"/>
      <c r="I520" s="13">
        <v>0</v>
      </c>
      <c r="J520" s="13">
        <v>0</v>
      </c>
      <c r="K520" s="14" t="str">
        <f t="shared" si="91"/>
        <v>Twitter Web Client</v>
      </c>
      <c r="L520" s="13">
        <v>1403</v>
      </c>
      <c r="M520" s="13">
        <v>995</v>
      </c>
      <c r="N520" s="13">
        <v>21</v>
      </c>
      <c r="O520" s="15"/>
      <c r="P520" s="6">
        <v>41096.539826388893</v>
      </c>
      <c r="Q520" s="17" t="s">
        <v>2257</v>
      </c>
      <c r="R520" s="18" t="s">
        <v>2258</v>
      </c>
      <c r="S520" s="12"/>
      <c r="T520" s="12"/>
      <c r="U520" s="10" t="str">
        <f>HYPERLINK("https://pbs.twimg.com/profile_images/1036207495444946944/89JG5auj.jpg","View")</f>
        <v>View</v>
      </c>
    </row>
    <row r="521" spans="1:21" ht="51">
      <c r="A521" s="6">
        <v>43427.47384259259</v>
      </c>
      <c r="B521" s="7" t="str">
        <f>HYPERLINK("https://twitter.com/asierantona","@asierantona")</f>
        <v>@asierantona</v>
      </c>
      <c r="C521" s="8" t="s">
        <v>2259</v>
      </c>
      <c r="D521" s="9" t="s">
        <v>2260</v>
      </c>
      <c r="E521" s="10" t="str">
        <f>HYPERLINK("https://twitter.com/asierantona/status/1065913432669601792","1065913432669601792")</f>
        <v>1065913432669601792</v>
      </c>
      <c r="F521" s="12"/>
      <c r="G521" s="11" t="s">
        <v>2261</v>
      </c>
      <c r="H521" s="12"/>
      <c r="I521" s="13">
        <v>25</v>
      </c>
      <c r="J521" s="13">
        <v>27</v>
      </c>
      <c r="K521" s="14" t="str">
        <f>HYPERLINK("http://twitter.com/download/iphone","Twitter for iPhone")</f>
        <v>Twitter for iPhone</v>
      </c>
      <c r="L521" s="13">
        <v>6894</v>
      </c>
      <c r="M521" s="13">
        <v>2957</v>
      </c>
      <c r="N521" s="13">
        <v>157</v>
      </c>
      <c r="O521" s="16" t="s">
        <v>26</v>
      </c>
      <c r="P521" s="6">
        <v>40801.52920138889</v>
      </c>
      <c r="Q521" s="17" t="s">
        <v>2262</v>
      </c>
      <c r="R521" s="18" t="s">
        <v>2263</v>
      </c>
      <c r="S521" s="11" t="s">
        <v>898</v>
      </c>
      <c r="T521" s="12"/>
      <c r="U521" s="10" t="str">
        <f>HYPERLINK("https://pbs.twimg.com/profile_images/961282497777631232/ZlKvMrd8.jpg","View")</f>
        <v>View</v>
      </c>
    </row>
    <row r="522" spans="1:21" ht="20.399999999999999">
      <c r="A522" s="6">
        <v>43427.473692129628</v>
      </c>
      <c r="B522" s="7" t="str">
        <f>HYPERLINK("https://twitter.com/alb_pascual","@alb_pascual")</f>
        <v>@alb_pascual</v>
      </c>
      <c r="C522" s="8" t="s">
        <v>2264</v>
      </c>
      <c r="D522" s="9" t="s">
        <v>2265</v>
      </c>
      <c r="E522" s="10" t="str">
        <f>HYPERLINK("https://twitter.com/alb_pascual/status/1065913377225154560","1065913377225154560")</f>
        <v>1065913377225154560</v>
      </c>
      <c r="F522" s="12"/>
      <c r="G522" s="12"/>
      <c r="H522" s="12"/>
      <c r="I522" s="13">
        <v>2</v>
      </c>
      <c r="J522" s="13">
        <v>5</v>
      </c>
      <c r="K522" s="14" t="str">
        <f>HYPERLINK("http://twitter.com/download/android","Twitter for Android")</f>
        <v>Twitter for Android</v>
      </c>
      <c r="L522" s="13">
        <v>1513</v>
      </c>
      <c r="M522" s="13">
        <v>1385</v>
      </c>
      <c r="N522" s="13">
        <v>4</v>
      </c>
      <c r="O522" s="15"/>
      <c r="P522" s="6">
        <v>43014.017187500001</v>
      </c>
      <c r="Q522" s="17" t="s">
        <v>2266</v>
      </c>
      <c r="R522" s="18" t="s">
        <v>2267</v>
      </c>
      <c r="S522" s="12"/>
      <c r="T522" s="12"/>
      <c r="U522" s="10" t="str">
        <f>HYPERLINK("https://pbs.twimg.com/profile_images/1017300743622221824/3tXecoxl.jpg","View")</f>
        <v>View</v>
      </c>
    </row>
    <row r="523" spans="1:21" ht="20.399999999999999">
      <c r="A523" s="6">
        <v>43427.473668981482</v>
      </c>
      <c r="B523" s="7" t="str">
        <f>HYPERLINK("https://twitter.com/ECEspana","@ECEspana")</f>
        <v>@ECEspana</v>
      </c>
      <c r="C523" s="8" t="s">
        <v>2268</v>
      </c>
      <c r="D523" s="9" t="s">
        <v>2226</v>
      </c>
      <c r="E523" s="10" t="str">
        <f>HYPERLINK("https://twitter.com/ECEspana/status/1065913367808757760","1065913367808757760")</f>
        <v>1065913367808757760</v>
      </c>
      <c r="F523" s="11" t="s">
        <v>2269</v>
      </c>
      <c r="G523" s="12"/>
      <c r="H523" s="12"/>
      <c r="I523" s="13">
        <v>0</v>
      </c>
      <c r="J523" s="13">
        <v>0</v>
      </c>
      <c r="K523" s="14" t="str">
        <f>HYPERLINK("https://dlvrit.com/","dlvr.it")</f>
        <v>dlvr.it</v>
      </c>
      <c r="L523" s="13">
        <v>1900</v>
      </c>
      <c r="M523" s="13">
        <v>91</v>
      </c>
      <c r="N523" s="13">
        <v>84</v>
      </c>
      <c r="O523" s="15"/>
      <c r="P523" s="6">
        <v>42291.784953703704</v>
      </c>
      <c r="Q523" s="17" t="s">
        <v>141</v>
      </c>
      <c r="R523" s="18" t="s">
        <v>2271</v>
      </c>
      <c r="S523" s="11" t="s">
        <v>2272</v>
      </c>
      <c r="T523" s="12"/>
      <c r="U523" s="10" t="str">
        <f>HYPERLINK("https://pbs.twimg.com/profile_images/831789838693183488/XYTdUPcP.jpg","View")</f>
        <v>View</v>
      </c>
    </row>
    <row r="524" spans="1:21" ht="20.399999999999999">
      <c r="A524" s="6">
        <v>43427.473032407404</v>
      </c>
      <c r="B524" s="7" t="str">
        <f>HYPERLINK("https://twitter.com/FlipB_","@FlipB_")</f>
        <v>@FlipB_</v>
      </c>
      <c r="C524" s="8" t="s">
        <v>2273</v>
      </c>
      <c r="D524" s="9" t="s">
        <v>2274</v>
      </c>
      <c r="E524" s="10" t="str">
        <f>HYPERLINK("https://twitter.com/FlipB_/status/1065913138837684224","1065913138837684224")</f>
        <v>1065913138837684224</v>
      </c>
      <c r="F524" s="11" t="s">
        <v>2243</v>
      </c>
      <c r="G524" s="12"/>
      <c r="H524" s="12"/>
      <c r="I524" s="13">
        <v>0</v>
      </c>
      <c r="J524" s="13">
        <v>0</v>
      </c>
      <c r="K524" s="14" t="str">
        <f>HYPERLINK("https://ifttt.com","IFTTT")</f>
        <v>IFTTT</v>
      </c>
      <c r="L524" s="13">
        <v>60</v>
      </c>
      <c r="M524" s="13">
        <v>3</v>
      </c>
      <c r="N524" s="13">
        <v>12</v>
      </c>
      <c r="O524" s="15"/>
      <c r="P524" s="6">
        <v>42261.681203703702</v>
      </c>
      <c r="Q524" s="12"/>
      <c r="R524" s="19"/>
      <c r="S524" s="12"/>
      <c r="T524" s="12"/>
      <c r="U524" s="10" t="str">
        <f>HYPERLINK("https://pbs.twimg.com/profile_images/755670861819047937/3YnQFVdp.jpg","View")</f>
        <v>View</v>
      </c>
    </row>
    <row r="525" spans="1:21" ht="30.6">
      <c r="A525" s="6">
        <v>43427.47247685185</v>
      </c>
      <c r="B525" s="7" t="str">
        <f>HYPERLINK("https://twitter.com/SOQ1960","@SOQ1960")</f>
        <v>@SOQ1960</v>
      </c>
      <c r="C525" s="8" t="s">
        <v>2275</v>
      </c>
      <c r="D525" s="9" t="s">
        <v>2276</v>
      </c>
      <c r="E525" s="10" t="str">
        <f>HYPERLINK("https://twitter.com/SOQ1960/status/1065912935044841472","1065912935044841472")</f>
        <v>1065912935044841472</v>
      </c>
      <c r="F525" s="11" t="s">
        <v>207</v>
      </c>
      <c r="G525" s="12"/>
      <c r="H525" s="12"/>
      <c r="I525" s="13">
        <v>0</v>
      </c>
      <c r="J525" s="13">
        <v>0</v>
      </c>
      <c r="K525" s="14" t="str">
        <f>HYPERLINK("http://twitter.com/download/android","Twitter for Android")</f>
        <v>Twitter for Android</v>
      </c>
      <c r="L525" s="13">
        <v>414</v>
      </c>
      <c r="M525" s="13">
        <v>507</v>
      </c>
      <c r="N525" s="13">
        <v>1</v>
      </c>
      <c r="O525" s="15"/>
      <c r="P525" s="6">
        <v>41834.796018518522</v>
      </c>
      <c r="Q525" s="17" t="s">
        <v>2277</v>
      </c>
      <c r="R525" s="18" t="s">
        <v>2278</v>
      </c>
      <c r="S525" s="12"/>
      <c r="T525" s="12"/>
      <c r="U525" s="10" t="str">
        <f>HYPERLINK("https://pbs.twimg.com/profile_images/488735218765811714/w0t2y6yz.jpeg","View")</f>
        <v>View</v>
      </c>
    </row>
    <row r="526" spans="1:21" ht="40.799999999999997">
      <c r="A526" s="6">
        <v>43427.472152777773</v>
      </c>
      <c r="B526" s="7" t="str">
        <f>HYPERLINK("https://twitter.com/josegabriel467","@josegabriel467")</f>
        <v>@josegabriel467</v>
      </c>
      <c r="C526" s="8" t="s">
        <v>2279</v>
      </c>
      <c r="D526" s="9" t="s">
        <v>2280</v>
      </c>
      <c r="E526" s="10" t="str">
        <f>HYPERLINK("https://twitter.com/josegabriel467/status/1065912818212442112","1065912818212442112")</f>
        <v>1065912818212442112</v>
      </c>
      <c r="F526" s="11" t="s">
        <v>2281</v>
      </c>
      <c r="G526" s="12"/>
      <c r="H526" s="12"/>
      <c r="I526" s="13">
        <v>0</v>
      </c>
      <c r="J526" s="13">
        <v>0</v>
      </c>
      <c r="K526" s="14" t="str">
        <f>HYPERLINK("http://www.facebook.com/twitter","Facebook")</f>
        <v>Facebook</v>
      </c>
      <c r="L526" s="13">
        <v>1624</v>
      </c>
      <c r="M526" s="13">
        <v>1609</v>
      </c>
      <c r="N526" s="13">
        <v>23</v>
      </c>
      <c r="O526" s="15"/>
      <c r="P526" s="6">
        <v>40844.535150462965</v>
      </c>
      <c r="Q526" s="17" t="s">
        <v>28</v>
      </c>
      <c r="R526" s="18" t="s">
        <v>2282</v>
      </c>
      <c r="S526" s="11" t="s">
        <v>2283</v>
      </c>
      <c r="T526" s="12"/>
      <c r="U526" s="10" t="str">
        <f>HYPERLINK("https://pbs.twimg.com/profile_images/864586721966436354/WwV_o0gL.jpg","View")</f>
        <v>View</v>
      </c>
    </row>
    <row r="527" spans="1:21" ht="30.6">
      <c r="A527" s="6">
        <v>43427.471956018519</v>
      </c>
      <c r="B527" s="7" t="str">
        <f>HYPERLINK("https://twitter.com/pallaron12","@pallaron12")</f>
        <v>@pallaron12</v>
      </c>
      <c r="C527" s="8" t="s">
        <v>2284</v>
      </c>
      <c r="D527" s="9" t="s">
        <v>429</v>
      </c>
      <c r="E527" s="10" t="str">
        <f>HYPERLINK("https://twitter.com/pallaron12/status/1065912748918407169","1065912748918407169")</f>
        <v>1065912748918407169</v>
      </c>
      <c r="F527" s="11" t="s">
        <v>269</v>
      </c>
      <c r="G527" s="12"/>
      <c r="H527" s="12"/>
      <c r="I527" s="13">
        <v>0</v>
      </c>
      <c r="J527" s="13">
        <v>0</v>
      </c>
      <c r="K527" s="14" t="str">
        <f>HYPERLINK("http://twitter.com/download/android","Twitter for Android")</f>
        <v>Twitter for Android</v>
      </c>
      <c r="L527" s="13">
        <v>1412</v>
      </c>
      <c r="M527" s="13">
        <v>501</v>
      </c>
      <c r="N527" s="13">
        <v>8</v>
      </c>
      <c r="O527" s="15"/>
      <c r="P527" s="6">
        <v>41854.66134259259</v>
      </c>
      <c r="Q527" s="17" t="s">
        <v>2285</v>
      </c>
      <c r="R527" s="18" t="s">
        <v>2286</v>
      </c>
      <c r="S527" s="12"/>
      <c r="T527" s="12"/>
      <c r="U527" s="10" t="str">
        <f>HYPERLINK("https://pbs.twimg.com/profile_images/1064713832633896961/NkwZ7D9D.jpg","View")</f>
        <v>View</v>
      </c>
    </row>
    <row r="528" spans="1:21" ht="30.6">
      <c r="A528" s="6">
        <v>43427.470833333333</v>
      </c>
      <c r="B528" s="7" t="str">
        <f>HYPERLINK("https://twitter.com/minarq132","@minarq132")</f>
        <v>@minarq132</v>
      </c>
      <c r="C528" s="8" t="s">
        <v>2287</v>
      </c>
      <c r="D528" s="9" t="s">
        <v>2288</v>
      </c>
      <c r="E528" s="10" t="str">
        <f>HYPERLINK("https://twitter.com/minarq132/status/1065912342859431937","1065912342859431937")</f>
        <v>1065912342859431937</v>
      </c>
      <c r="F528" s="12"/>
      <c r="G528" s="12"/>
      <c r="H528" s="12"/>
      <c r="I528" s="13">
        <v>0</v>
      </c>
      <c r="J528" s="13">
        <v>3</v>
      </c>
      <c r="K528" s="14" t="str">
        <f t="shared" ref="K528:K530" si="92">HYPERLINK("http://twitter.com","Twitter Web Client")</f>
        <v>Twitter Web Client</v>
      </c>
      <c r="L528" s="13">
        <v>373</v>
      </c>
      <c r="M528" s="13">
        <v>408</v>
      </c>
      <c r="N528" s="13">
        <v>4</v>
      </c>
      <c r="O528" s="15"/>
      <c r="P528" s="6">
        <v>40619.872824074075</v>
      </c>
      <c r="Q528" s="17" t="s">
        <v>1873</v>
      </c>
      <c r="R528" s="18" t="s">
        <v>2289</v>
      </c>
      <c r="S528" s="12"/>
      <c r="T528" s="12"/>
      <c r="U528" s="10" t="str">
        <f>HYPERLINK("https://pbs.twimg.com/profile_images/1057942506577559554/43oaPjCf.jpg","View")</f>
        <v>View</v>
      </c>
    </row>
    <row r="529" spans="1:21" ht="40.799999999999997">
      <c r="A529" s="6">
        <v>43427.47047453704</v>
      </c>
      <c r="B529" s="7" t="str">
        <f>HYPERLINK("https://twitter.com/vai3333","@vai3333")</f>
        <v>@vai3333</v>
      </c>
      <c r="C529" s="8" t="s">
        <v>2290</v>
      </c>
      <c r="D529" s="9" t="s">
        <v>2291</v>
      </c>
      <c r="E529" s="10" t="str">
        <f>HYPERLINK("https://twitter.com/vai3333/status/1065912212311683072","1065912212311683072")</f>
        <v>1065912212311683072</v>
      </c>
      <c r="F529" s="11" t="s">
        <v>2292</v>
      </c>
      <c r="G529" s="12"/>
      <c r="H529" s="12"/>
      <c r="I529" s="13">
        <v>0</v>
      </c>
      <c r="J529" s="13">
        <v>0</v>
      </c>
      <c r="K529" s="14" t="str">
        <f t="shared" si="92"/>
        <v>Twitter Web Client</v>
      </c>
      <c r="L529" s="13">
        <v>6740</v>
      </c>
      <c r="M529" s="13">
        <v>4898</v>
      </c>
      <c r="N529" s="13">
        <v>439</v>
      </c>
      <c r="O529" s="15"/>
      <c r="P529" s="6">
        <v>40477.576840277776</v>
      </c>
      <c r="Q529" s="17" t="s">
        <v>878</v>
      </c>
      <c r="R529" s="18" t="s">
        <v>2293</v>
      </c>
      <c r="S529" s="12"/>
      <c r="T529" s="12"/>
      <c r="U529" s="10" t="str">
        <f>HYPERLINK("https://pbs.twimg.com/profile_images/763350289088974848/A1nWm2kk.jpg","View")</f>
        <v>View</v>
      </c>
    </row>
    <row r="530" spans="1:21" ht="13.2">
      <c r="A530" s="6">
        <v>43427.470162037032</v>
      </c>
      <c r="B530" s="7" t="str">
        <f>HYPERLINK("https://twitter.com/PepitaJ39978396","@PepitaJ39978396")</f>
        <v>@PepitaJ39978396</v>
      </c>
      <c r="C530" s="8" t="s">
        <v>2294</v>
      </c>
      <c r="D530" s="9" t="s">
        <v>2295</v>
      </c>
      <c r="E530" s="10" t="str">
        <f>HYPERLINK("https://twitter.com/PepitaJ39978396/status/1065912098230870016","1065912098230870016")</f>
        <v>1065912098230870016</v>
      </c>
      <c r="F530" s="11" t="s">
        <v>1820</v>
      </c>
      <c r="G530" s="12"/>
      <c r="H530" s="12"/>
      <c r="I530" s="13">
        <v>0</v>
      </c>
      <c r="J530" s="13">
        <v>0</v>
      </c>
      <c r="K530" s="14" t="str">
        <f t="shared" si="92"/>
        <v>Twitter Web Client</v>
      </c>
      <c r="L530" s="13">
        <v>99</v>
      </c>
      <c r="M530" s="13">
        <v>123</v>
      </c>
      <c r="N530" s="13">
        <v>0</v>
      </c>
      <c r="O530" s="15"/>
      <c r="P530" s="6">
        <v>43120.943078703705</v>
      </c>
      <c r="Q530" s="17" t="s">
        <v>277</v>
      </c>
      <c r="R530" s="19"/>
      <c r="S530" s="12"/>
      <c r="T530" s="12"/>
      <c r="U530" s="10" t="str">
        <f>HYPERLINK("https://pbs.twimg.com/profile_images/1033809682744442882/JBqFpcXf.jpg","View")</f>
        <v>View</v>
      </c>
    </row>
    <row r="531" spans="1:21" ht="51">
      <c r="A531" s="6">
        <v>43427.470092592594</v>
      </c>
      <c r="B531" s="7" t="str">
        <f>HYPERLINK("https://twitter.com/B_ca_es_eu","@B_ca_es_eu")</f>
        <v>@B_ca_es_eu</v>
      </c>
      <c r="C531" s="8" t="s">
        <v>2296</v>
      </c>
      <c r="D531" s="9" t="s">
        <v>2297</v>
      </c>
      <c r="E531" s="10" t="str">
        <f>HYPERLINK("https://twitter.com/B_ca_es_eu/status/1065912071173431297","1065912071173431297")</f>
        <v>1065912071173431297</v>
      </c>
      <c r="F531" s="17" t="s">
        <v>2298</v>
      </c>
      <c r="G531" s="11" t="s">
        <v>2299</v>
      </c>
      <c r="H531" s="12"/>
      <c r="I531" s="13">
        <v>1</v>
      </c>
      <c r="J531" s="13">
        <v>1</v>
      </c>
      <c r="K531" s="14" t="str">
        <f>HYPERLINK("https://about.twitter.com/products/tweetdeck","TweetDeck")</f>
        <v>TweetDeck</v>
      </c>
      <c r="L531" s="13">
        <v>7560</v>
      </c>
      <c r="M531" s="13">
        <v>8026</v>
      </c>
      <c r="N531" s="13">
        <v>362</v>
      </c>
      <c r="O531" s="15"/>
      <c r="P531" s="6">
        <v>40917.536597222221</v>
      </c>
      <c r="Q531" s="17" t="s">
        <v>2300</v>
      </c>
      <c r="R531" s="18" t="s">
        <v>2301</v>
      </c>
      <c r="S531" s="12"/>
      <c r="T531" s="12"/>
      <c r="U531" s="10" t="str">
        <f>HYPERLINK("https://pbs.twimg.com/profile_images/1009399356099846145/EFwdZWCf.jpg","View")</f>
        <v>View</v>
      </c>
    </row>
    <row r="532" spans="1:21" ht="40.799999999999997">
      <c r="A532" s="6">
        <v>43427.469699074078</v>
      </c>
      <c r="B532" s="7" t="str">
        <f>HYPERLINK("https://twitter.com/slaymultimedios","@slaymultimedios")</f>
        <v>@slaymultimedios</v>
      </c>
      <c r="C532" s="8" t="s">
        <v>562</v>
      </c>
      <c r="D532" s="9" t="s">
        <v>2302</v>
      </c>
      <c r="E532" s="10" t="str">
        <f>HYPERLINK("https://twitter.com/slaymultimedios/status/1065911929493950464","1065911929493950464")</f>
        <v>1065911929493950464</v>
      </c>
      <c r="F532" s="11" t="s">
        <v>2303</v>
      </c>
      <c r="G532" s="12"/>
      <c r="H532" s="12"/>
      <c r="I532" s="13">
        <v>0</v>
      </c>
      <c r="J532" s="13">
        <v>0</v>
      </c>
      <c r="K532" s="14" t="str">
        <f>HYPERLINK("http://www.slaymultimedios.com","WebSiteSlayMultimedios")</f>
        <v>WebSiteSlayMultimedios</v>
      </c>
      <c r="L532" s="13">
        <v>41749</v>
      </c>
      <c r="M532" s="13">
        <v>178</v>
      </c>
      <c r="N532" s="13">
        <v>410</v>
      </c>
      <c r="O532" s="15"/>
      <c r="P532" s="6">
        <v>40209.93105324074</v>
      </c>
      <c r="Q532" s="17" t="s">
        <v>565</v>
      </c>
      <c r="R532" s="18" t="s">
        <v>566</v>
      </c>
      <c r="S532" s="11" t="s">
        <v>567</v>
      </c>
      <c r="T532" s="12"/>
      <c r="U532" s="10" t="str">
        <f>HYPERLINK("https://pbs.twimg.com/profile_images/714690465916817408/1NXaiuED.jpg","View")</f>
        <v>View</v>
      </c>
    </row>
    <row r="533" spans="1:21" ht="30.6">
      <c r="A533" s="6">
        <v>43427.469687500001</v>
      </c>
      <c r="B533" s="7" t="str">
        <f>HYPERLINK("https://twitter.com/IssurSanchez","@IssurSanchez")</f>
        <v>@IssurSanchez</v>
      </c>
      <c r="C533" s="8" t="s">
        <v>2304</v>
      </c>
      <c r="D533" s="9" t="s">
        <v>2305</v>
      </c>
      <c r="E533" s="10" t="str">
        <f>HYPERLINK("https://twitter.com/IssurSanchez/status/1065911926780239872","1065911926780239872")</f>
        <v>1065911926780239872</v>
      </c>
      <c r="F533" s="12"/>
      <c r="G533" s="11" t="s">
        <v>2306</v>
      </c>
      <c r="H533" s="12"/>
      <c r="I533" s="13">
        <v>1</v>
      </c>
      <c r="J533" s="13">
        <v>3</v>
      </c>
      <c r="K533" s="14" t="str">
        <f>HYPERLINK("http://twitter.com","Twitter Web Client")</f>
        <v>Twitter Web Client</v>
      </c>
      <c r="L533" s="13">
        <v>3711</v>
      </c>
      <c r="M533" s="13">
        <v>405</v>
      </c>
      <c r="N533" s="13">
        <v>78</v>
      </c>
      <c r="O533" s="15"/>
      <c r="P533" s="6">
        <v>40991.819837962961</v>
      </c>
      <c r="Q533" s="17" t="s">
        <v>2307</v>
      </c>
      <c r="R533" s="18" t="s">
        <v>2308</v>
      </c>
      <c r="S533" s="12"/>
      <c r="T533" s="12"/>
      <c r="U533" s="10" t="str">
        <f>HYPERLINK("https://pbs.twimg.com/profile_images/1061278161340690433/VvJxVXGm.jpg","View")</f>
        <v>View</v>
      </c>
    </row>
    <row r="534" spans="1:21" ht="40.799999999999997">
      <c r="A534" s="6">
        <v>43427.468912037039</v>
      </c>
      <c r="B534" s="7" t="str">
        <f>HYPERLINK("https://twitter.com/malaquita65","@malaquita65")</f>
        <v>@malaquita65</v>
      </c>
      <c r="C534" s="8" t="s">
        <v>2309</v>
      </c>
      <c r="D534" s="9" t="s">
        <v>745</v>
      </c>
      <c r="E534" s="10" t="str">
        <f>HYPERLINK("https://twitter.com/malaquita65/status/1065911644432330752","1065911644432330752")</f>
        <v>1065911644432330752</v>
      </c>
      <c r="F534" s="11" t="s">
        <v>746</v>
      </c>
      <c r="G534" s="12"/>
      <c r="H534" s="12"/>
      <c r="I534" s="13">
        <v>0</v>
      </c>
      <c r="J534" s="13">
        <v>0</v>
      </c>
      <c r="K534" s="14" t="str">
        <f>HYPERLINK("http://twitter.com/download/android","Twitter for Android")</f>
        <v>Twitter for Android</v>
      </c>
      <c r="L534" s="13">
        <v>5976</v>
      </c>
      <c r="M534" s="13">
        <v>4290</v>
      </c>
      <c r="N534" s="13">
        <v>89</v>
      </c>
      <c r="O534" s="15"/>
      <c r="P534" s="6">
        <v>40784.585601851853</v>
      </c>
      <c r="Q534" s="17" t="s">
        <v>2310</v>
      </c>
      <c r="R534" s="18" t="s">
        <v>2311</v>
      </c>
      <c r="S534" s="12"/>
      <c r="T534" s="12"/>
      <c r="U534" s="10" t="str">
        <f>HYPERLINK("https://pbs.twimg.com/profile_images/1063529926433939459/IfX_aAx1.jpg","View")</f>
        <v>View</v>
      </c>
    </row>
    <row r="535" spans="1:21" ht="40.799999999999997">
      <c r="A535" s="6">
        <v>43427.468425925923</v>
      </c>
      <c r="B535" s="7" t="str">
        <f>HYPERLINK("https://twitter.com/AILSpain","@AILSpain")</f>
        <v>@AILSpain</v>
      </c>
      <c r="C535" s="8" t="s">
        <v>2312</v>
      </c>
      <c r="D535" s="9" t="s">
        <v>2313</v>
      </c>
      <c r="E535" s="10" t="str">
        <f>HYPERLINK("https://twitter.com/AILSpain/status/1065911466786725888","1065911466786725888")</f>
        <v>1065911466786725888</v>
      </c>
      <c r="F535" s="11" t="s">
        <v>2314</v>
      </c>
      <c r="G535" s="12"/>
      <c r="H535" s="12"/>
      <c r="I535" s="13">
        <v>0</v>
      </c>
      <c r="J535" s="13">
        <v>0</v>
      </c>
      <c r="K535" s="14" t="str">
        <f t="shared" ref="K535:K536" si="93">HYPERLINK("http://twitter.com","Twitter Web Client")</f>
        <v>Twitter Web Client</v>
      </c>
      <c r="L535" s="13">
        <v>798</v>
      </c>
      <c r="M535" s="13">
        <v>766</v>
      </c>
      <c r="N535" s="13">
        <v>15</v>
      </c>
      <c r="O535" s="15"/>
      <c r="P535" s="6">
        <v>40996.613634259258</v>
      </c>
      <c r="Q535" s="17" t="s">
        <v>2315</v>
      </c>
      <c r="R535" s="18" t="s">
        <v>2316</v>
      </c>
      <c r="S535" s="11" t="s">
        <v>2317</v>
      </c>
      <c r="T535" s="12"/>
      <c r="U535" s="10" t="str">
        <f>HYPERLINK("https://pbs.twimg.com/profile_images/895600121320263680/IMs346vr.jpg","View")</f>
        <v>View</v>
      </c>
    </row>
    <row r="536" spans="1:21" ht="40.799999999999997">
      <c r="A536" s="6">
        <v>43427.46811342593</v>
      </c>
      <c r="B536" s="7" t="str">
        <f>HYPERLINK("https://twitter.com/AgenciaAtlas","@AgenciaAtlas")</f>
        <v>@AgenciaAtlas</v>
      </c>
      <c r="C536" s="8" t="s">
        <v>2318</v>
      </c>
      <c r="D536" s="9" t="s">
        <v>2319</v>
      </c>
      <c r="E536" s="10" t="str">
        <f>HYPERLINK("https://twitter.com/AgenciaAtlas/status/1065911357202001920","1065911357202001920")</f>
        <v>1065911357202001920</v>
      </c>
      <c r="F536" s="11" t="s">
        <v>2320</v>
      </c>
      <c r="G536" s="12"/>
      <c r="H536" s="12"/>
      <c r="I536" s="13">
        <v>0</v>
      </c>
      <c r="J536" s="13">
        <v>0</v>
      </c>
      <c r="K536" s="14" t="str">
        <f t="shared" si="93"/>
        <v>Twitter Web Client</v>
      </c>
      <c r="L536" s="13">
        <v>3159</v>
      </c>
      <c r="M536" s="13">
        <v>661</v>
      </c>
      <c r="N536" s="13">
        <v>129</v>
      </c>
      <c r="O536" s="15"/>
      <c r="P536" s="6">
        <v>40977.703530092593</v>
      </c>
      <c r="Q536" s="17" t="s">
        <v>1692</v>
      </c>
      <c r="R536" s="18" t="s">
        <v>2321</v>
      </c>
      <c r="S536" s="11" t="s">
        <v>2322</v>
      </c>
      <c r="T536" s="12"/>
      <c r="U536" s="10" t="str">
        <f>HYPERLINK("https://pbs.twimg.com/profile_images/1065939133569409025/6ldnT-Ks.jpg","View")</f>
        <v>View</v>
      </c>
    </row>
    <row r="537" spans="1:21" ht="51">
      <c r="A537" s="6">
        <v>43427.467881944445</v>
      </c>
      <c r="B537" s="7" t="str">
        <f>HYPERLINK("https://twitter.com/Pepa63306772","@Pepa63306772")</f>
        <v>@Pepa63306772</v>
      </c>
      <c r="C537" s="8" t="s">
        <v>2323</v>
      </c>
      <c r="D537" s="9" t="s">
        <v>2324</v>
      </c>
      <c r="E537" s="10" t="str">
        <f>HYPERLINK("https://twitter.com/Pepa63306772/status/1065911273177735168","1065911273177735168")</f>
        <v>1065911273177735168</v>
      </c>
      <c r="F537" s="11" t="s">
        <v>2325</v>
      </c>
      <c r="G537" s="12"/>
      <c r="H537" s="12"/>
      <c r="I537" s="13">
        <v>7</v>
      </c>
      <c r="J537" s="13">
        <v>5</v>
      </c>
      <c r="K537" s="14" t="str">
        <f>HYPERLINK("http://twitter.com/download/android","Twitter for Android")</f>
        <v>Twitter for Android</v>
      </c>
      <c r="L537" s="13">
        <v>778</v>
      </c>
      <c r="M537" s="13">
        <v>833</v>
      </c>
      <c r="N537" s="13">
        <v>1</v>
      </c>
      <c r="O537" s="15"/>
      <c r="P537" s="6">
        <v>43110.019930555558</v>
      </c>
      <c r="Q537" s="12"/>
      <c r="R537" s="19"/>
      <c r="S537" s="12"/>
      <c r="T537" s="12"/>
      <c r="U537" s="10" t="str">
        <f>HYPERLINK("https://pbs.twimg.com/profile_images/1015313100260683777/skS-dM_P.jpg","View")</f>
        <v>View</v>
      </c>
    </row>
    <row r="538" spans="1:21" ht="30.6">
      <c r="A538" s="6">
        <v>43427.467858796299</v>
      </c>
      <c r="B538" s="7" t="str">
        <f>HYPERLINK("https://twitter.com/periodicovzlano","@periodicovzlano")</f>
        <v>@periodicovzlano</v>
      </c>
      <c r="C538" s="8" t="s">
        <v>97</v>
      </c>
      <c r="D538" s="9" t="s">
        <v>98</v>
      </c>
      <c r="E538" s="10" t="str">
        <f>HYPERLINK("https://twitter.com/periodicovzlano/status/1065911264185065477","1065911264185065477")</f>
        <v>1065911264185065477</v>
      </c>
      <c r="F538" s="11" t="s">
        <v>99</v>
      </c>
      <c r="G538" s="11" t="s">
        <v>2326</v>
      </c>
      <c r="H538" s="12"/>
      <c r="I538" s="13">
        <v>0</v>
      </c>
      <c r="J538" s="13">
        <v>0</v>
      </c>
      <c r="K538" s="14" t="str">
        <f>HYPERLINK("http://epmundo.com","Tuiteo TOP EP (1)")</f>
        <v>Tuiteo TOP EP (1)</v>
      </c>
      <c r="L538" s="13">
        <v>479592</v>
      </c>
      <c r="M538" s="13">
        <v>359153</v>
      </c>
      <c r="N538" s="13">
        <v>1296</v>
      </c>
      <c r="O538" s="15"/>
      <c r="P538" s="6">
        <v>40663.3512962963</v>
      </c>
      <c r="Q538" s="17" t="s">
        <v>104</v>
      </c>
      <c r="R538" s="18" t="s">
        <v>105</v>
      </c>
      <c r="S538" s="11" t="s">
        <v>106</v>
      </c>
      <c r="T538" s="12"/>
      <c r="U538" s="10" t="str">
        <f>HYPERLINK("https://pbs.twimg.com/profile_images/958328579250638849/MCz7Q8U6.jpg","View")</f>
        <v>View</v>
      </c>
    </row>
    <row r="539" spans="1:21" ht="40.799999999999997">
      <c r="A539" s="6">
        <v>43427.467673611114</v>
      </c>
      <c r="B539" s="7" t="str">
        <f>HYPERLINK("https://twitter.com/almayadeen_es","@almayadeen_es")</f>
        <v>@almayadeen_es</v>
      </c>
      <c r="C539" s="8" t="s">
        <v>2327</v>
      </c>
      <c r="D539" s="9" t="s">
        <v>2328</v>
      </c>
      <c r="E539" s="10" t="str">
        <f>HYPERLINK("https://twitter.com/almayadeen_es/status/1065911194597449729","1065911194597449729")</f>
        <v>1065911194597449729</v>
      </c>
      <c r="F539" s="11" t="s">
        <v>2329</v>
      </c>
      <c r="G539" s="11" t="s">
        <v>2330</v>
      </c>
      <c r="H539" s="12"/>
      <c r="I539" s="13">
        <v>0</v>
      </c>
      <c r="J539" s="13">
        <v>0</v>
      </c>
      <c r="K539" s="14" t="str">
        <f>HYPERLINK("https://about.twitter.com/products/tweetdeck","TweetDeck")</f>
        <v>TweetDeck</v>
      </c>
      <c r="L539" s="13">
        <v>13325</v>
      </c>
      <c r="M539" s="13">
        <v>127</v>
      </c>
      <c r="N539" s="13">
        <v>238</v>
      </c>
      <c r="O539" s="16" t="s">
        <v>26</v>
      </c>
      <c r="P539" s="6">
        <v>41900.325138888889</v>
      </c>
      <c r="Q539" s="17" t="s">
        <v>2331</v>
      </c>
      <c r="R539" s="18" t="s">
        <v>2333</v>
      </c>
      <c r="S539" s="11" t="s">
        <v>2334</v>
      </c>
      <c r="T539" s="12"/>
      <c r="U539" s="10" t="str">
        <f>HYPERLINK("https://pbs.twimg.com/profile_images/816024764720484352/NlczJm7u.jpg","View")</f>
        <v>View</v>
      </c>
    </row>
    <row r="540" spans="1:21" ht="20.399999999999999">
      <c r="A540" s="6">
        <v>43427.466828703706</v>
      </c>
      <c r="B540" s="7" t="str">
        <f>HYPERLINK("https://twitter.com/vmse10","@vmse10")</f>
        <v>@vmse10</v>
      </c>
      <c r="C540" s="8" t="s">
        <v>2335</v>
      </c>
      <c r="D540" s="9" t="s">
        <v>2336</v>
      </c>
      <c r="E540" s="10" t="str">
        <f>HYPERLINK("https://twitter.com/vmse10/status/1065910890065727488","1065910890065727488")</f>
        <v>1065910890065727488</v>
      </c>
      <c r="F540" s="11" t="s">
        <v>2337</v>
      </c>
      <c r="G540" s="12"/>
      <c r="H540" s="12"/>
      <c r="I540" s="13">
        <v>0</v>
      </c>
      <c r="J540" s="13">
        <v>0</v>
      </c>
      <c r="K540" s="14" t="str">
        <f>HYPERLINK("http://twitter.com/download/iphone","Twitter for iPhone")</f>
        <v>Twitter for iPhone</v>
      </c>
      <c r="L540" s="13">
        <v>860</v>
      </c>
      <c r="M540" s="13">
        <v>2951</v>
      </c>
      <c r="N540" s="13">
        <v>12</v>
      </c>
      <c r="O540" s="15"/>
      <c r="P540" s="6">
        <v>41741.389722222222</v>
      </c>
      <c r="Q540" s="12"/>
      <c r="R540" s="18" t="s">
        <v>2339</v>
      </c>
      <c r="S540" s="11" t="s">
        <v>2340</v>
      </c>
      <c r="T540" s="12"/>
      <c r="U540" s="10" t="str">
        <f>HYPERLINK("https://pbs.twimg.com/profile_images/993798470078271488/xErxHwFC.jpg","View")</f>
        <v>View</v>
      </c>
    </row>
    <row r="541" spans="1:21" ht="30.6">
      <c r="A541" s="6">
        <v>43427.464212962965</v>
      </c>
      <c r="B541" s="7" t="str">
        <f>HYPERLINK("https://twitter.com/RachaelNewman15","@RachaelNewman15")</f>
        <v>@RachaelNewman15</v>
      </c>
      <c r="C541" s="8" t="s">
        <v>2341</v>
      </c>
      <c r="D541" s="9" t="s">
        <v>2342</v>
      </c>
      <c r="E541" s="10" t="str">
        <f>HYPERLINK("https://twitter.com/RachaelNewman15/status/1065909942123732993","1065909942123732993")</f>
        <v>1065909942123732993</v>
      </c>
      <c r="F541" s="11" t="s">
        <v>1116</v>
      </c>
      <c r="G541" s="12"/>
      <c r="H541" s="12"/>
      <c r="I541" s="13">
        <v>0</v>
      </c>
      <c r="J541" s="13">
        <v>0</v>
      </c>
      <c r="K541" s="14" t="str">
        <f t="shared" ref="K541:K542" si="94">HYPERLINK("http://twitter.com","Twitter Web Client")</f>
        <v>Twitter Web Client</v>
      </c>
      <c r="L541" s="13">
        <v>504</v>
      </c>
      <c r="M541" s="13">
        <v>1653</v>
      </c>
      <c r="N541" s="13">
        <v>7</v>
      </c>
      <c r="O541" s="15"/>
      <c r="P541" s="6">
        <v>41352.052499999998</v>
      </c>
      <c r="Q541" s="17" t="s">
        <v>2343</v>
      </c>
      <c r="R541" s="18" t="s">
        <v>2344</v>
      </c>
      <c r="S541" s="11" t="s">
        <v>2345</v>
      </c>
      <c r="T541" s="12"/>
      <c r="U541" s="10" t="str">
        <f>HYPERLINK("https://pbs.twimg.com/profile_images/450705427517304832/pFRgl7pj.jpeg","View")</f>
        <v>View</v>
      </c>
    </row>
    <row r="542" spans="1:21" ht="40.799999999999997">
      <c r="A542" s="6">
        <v>43427.463703703703</v>
      </c>
      <c r="B542" s="7" t="str">
        <f>HYPERLINK("https://twitter.com/roblebgp","@roblebgp")</f>
        <v>@roblebgp</v>
      </c>
      <c r="C542" s="8" t="s">
        <v>2346</v>
      </c>
      <c r="D542" s="9" t="s">
        <v>2347</v>
      </c>
      <c r="E542" s="10" t="str">
        <f>HYPERLINK("https://twitter.com/roblebgp/status/1065909755707826177","1065909755707826177")</f>
        <v>1065909755707826177</v>
      </c>
      <c r="F542" s="11" t="s">
        <v>320</v>
      </c>
      <c r="G542" s="12"/>
      <c r="H542" s="12"/>
      <c r="I542" s="13">
        <v>0</v>
      </c>
      <c r="J542" s="13">
        <v>0</v>
      </c>
      <c r="K542" s="14" t="str">
        <f t="shared" si="94"/>
        <v>Twitter Web Client</v>
      </c>
      <c r="L542" s="13">
        <v>1371</v>
      </c>
      <c r="M542" s="13">
        <v>1461</v>
      </c>
      <c r="N542" s="13">
        <v>3</v>
      </c>
      <c r="O542" s="15"/>
      <c r="P542" s="6">
        <v>41230.753240740742</v>
      </c>
      <c r="Q542" s="17" t="s">
        <v>28</v>
      </c>
      <c r="R542" s="18" t="s">
        <v>2348</v>
      </c>
      <c r="S542" s="11" t="s">
        <v>2349</v>
      </c>
      <c r="T542" s="12"/>
      <c r="U542" s="10" t="str">
        <f>HYPERLINK("https://pbs.twimg.com/profile_images/1007592003629191168/Px2iHzbR.jpg","View")</f>
        <v>View</v>
      </c>
    </row>
    <row r="543" spans="1:21" ht="40.799999999999997">
      <c r="A543" s="6">
        <v>43427.463680555556</v>
      </c>
      <c r="B543" s="7" t="str">
        <f>HYPERLINK("https://twitter.com/Vermutin2","@Vermutin2")</f>
        <v>@Vermutin2</v>
      </c>
      <c r="C543" s="8" t="s">
        <v>2350</v>
      </c>
      <c r="D543" s="9" t="s">
        <v>2351</v>
      </c>
      <c r="E543" s="10" t="str">
        <f>HYPERLINK("https://twitter.com/Vermutin2/status/1065909748166549504","1065909748166549504")</f>
        <v>1065909748166549504</v>
      </c>
      <c r="F543" s="11" t="s">
        <v>2352</v>
      </c>
      <c r="G543" s="12"/>
      <c r="H543" s="12"/>
      <c r="I543" s="13">
        <v>7</v>
      </c>
      <c r="J543" s="13">
        <v>13</v>
      </c>
      <c r="K543" s="14" t="str">
        <f>HYPERLINK("http://twitter.com/download/iphone","Twitter for iPhone")</f>
        <v>Twitter for iPhone</v>
      </c>
      <c r="L543" s="13">
        <v>1690</v>
      </c>
      <c r="M543" s="13">
        <v>846</v>
      </c>
      <c r="N543" s="13">
        <v>28</v>
      </c>
      <c r="O543" s="15"/>
      <c r="P543" s="6">
        <v>42658.727523148147</v>
      </c>
      <c r="Q543" s="17" t="s">
        <v>2354</v>
      </c>
      <c r="R543" s="18" t="s">
        <v>2355</v>
      </c>
      <c r="S543" s="11" t="s">
        <v>2356</v>
      </c>
      <c r="T543" s="12"/>
      <c r="U543" s="10" t="str">
        <f>HYPERLINK("https://pbs.twimg.com/profile_images/1063935252048027648/Ey43Eahp.jpg","View")</f>
        <v>View</v>
      </c>
    </row>
    <row r="544" spans="1:21" ht="40.799999999999997">
      <c r="A544" s="6">
        <v>43427.463587962964</v>
      </c>
      <c r="B544" s="7" t="str">
        <f>HYPERLINK("https://twitter.com/GACOVIEDO","@GACOVIEDO")</f>
        <v>@GACOVIEDO</v>
      </c>
      <c r="C544" s="8" t="s">
        <v>2358</v>
      </c>
      <c r="D544" s="9" t="s">
        <v>2359</v>
      </c>
      <c r="E544" s="10" t="str">
        <f>HYPERLINK("https://twitter.com/GACOVIEDO/status/1065909714062647299","1065909714062647299")</f>
        <v>1065909714062647299</v>
      </c>
      <c r="F544" s="11" t="s">
        <v>1331</v>
      </c>
      <c r="G544" s="12"/>
      <c r="H544" s="12"/>
      <c r="I544" s="13">
        <v>1</v>
      </c>
      <c r="J544" s="13">
        <v>0</v>
      </c>
      <c r="K544" s="14" t="str">
        <f>HYPERLINK("http://twitter.com/download/android","Twitter for Android")</f>
        <v>Twitter for Android</v>
      </c>
      <c r="L544" s="13">
        <v>2004</v>
      </c>
      <c r="M544" s="13">
        <v>1708</v>
      </c>
      <c r="N544" s="13">
        <v>7</v>
      </c>
      <c r="O544" s="15"/>
      <c r="P544" s="6">
        <v>41285.80846064815</v>
      </c>
      <c r="Q544" s="12"/>
      <c r="R544" s="18" t="s">
        <v>2360</v>
      </c>
      <c r="S544" s="12"/>
      <c r="T544" s="12"/>
      <c r="U544" s="10" t="str">
        <f>HYPERLINK("https://pbs.twimg.com/profile_images/1050837953742864385/_v0lfUdc.jpg","View")</f>
        <v>View</v>
      </c>
    </row>
    <row r="545" spans="1:21" ht="30.6">
      <c r="A545" s="6">
        <v>43427.463194444441</v>
      </c>
      <c r="B545" s="7" t="str">
        <f>HYPERLINK("https://twitter.com/hudimi","@hudimi")</f>
        <v>@hudimi</v>
      </c>
      <c r="C545" s="8" t="s">
        <v>2361</v>
      </c>
      <c r="D545" s="9" t="s">
        <v>2362</v>
      </c>
      <c r="E545" s="10" t="str">
        <f>HYPERLINK("https://twitter.com/hudimi/status/1065909573192695809","1065909573192695809")</f>
        <v>1065909573192695809</v>
      </c>
      <c r="F545" s="11" t="s">
        <v>1116</v>
      </c>
      <c r="G545" s="12"/>
      <c r="H545" s="12"/>
      <c r="I545" s="13">
        <v>0</v>
      </c>
      <c r="J545" s="13">
        <v>0</v>
      </c>
      <c r="K545" s="14" t="str">
        <f>HYPERLINK("http://twitter.com/#!/download/ipad","Twitter for iPad")</f>
        <v>Twitter for iPad</v>
      </c>
      <c r="L545" s="13">
        <v>1576</v>
      </c>
      <c r="M545" s="13">
        <v>2466</v>
      </c>
      <c r="N545" s="13">
        <v>56</v>
      </c>
      <c r="O545" s="15"/>
      <c r="P545" s="6">
        <v>39986.943113425928</v>
      </c>
      <c r="Q545" s="17" t="s">
        <v>2363</v>
      </c>
      <c r="R545" s="18" t="s">
        <v>2364</v>
      </c>
      <c r="S545" s="12"/>
      <c r="T545" s="12"/>
      <c r="U545" s="10" t="str">
        <f>HYPERLINK("https://pbs.twimg.com/profile_images/703329420837261314/iPGi0gkY.jpg","View")</f>
        <v>View</v>
      </c>
    </row>
    <row r="546" spans="1:21" ht="20.399999999999999">
      <c r="A546" s="6">
        <v>43427.462581018517</v>
      </c>
      <c r="B546" s="7" t="str">
        <f>HYPERLINK("https://twitter.com/Blo0p_","@Blo0p_")</f>
        <v>@Blo0p_</v>
      </c>
      <c r="C546" s="8" t="s">
        <v>2365</v>
      </c>
      <c r="D546" s="9" t="s">
        <v>2366</v>
      </c>
      <c r="E546" s="10" t="str">
        <f>HYPERLINK("https://twitter.com/Blo0p_/status/1065909350441656320","1065909350441656320")</f>
        <v>1065909350441656320</v>
      </c>
      <c r="F546" s="12"/>
      <c r="G546" s="12"/>
      <c r="H546" s="12"/>
      <c r="I546" s="13">
        <v>0</v>
      </c>
      <c r="J546" s="13">
        <v>0</v>
      </c>
      <c r="K546" s="14" t="str">
        <f>HYPERLINK("http://twitter.com","Twitter Web Client")</f>
        <v>Twitter Web Client</v>
      </c>
      <c r="L546" s="13">
        <v>421</v>
      </c>
      <c r="M546" s="13">
        <v>586</v>
      </c>
      <c r="N546" s="13">
        <v>7</v>
      </c>
      <c r="O546" s="15"/>
      <c r="P546" s="6">
        <v>42322.686435185184</v>
      </c>
      <c r="Q546" s="17" t="s">
        <v>1970</v>
      </c>
      <c r="R546" s="18" t="s">
        <v>2367</v>
      </c>
      <c r="S546" s="11" t="s">
        <v>2368</v>
      </c>
      <c r="T546" s="12"/>
      <c r="U546" s="10" t="str">
        <f>HYPERLINK("https://pbs.twimg.com/profile_images/1065666588131631104/1HPha-IO.jpg","View")</f>
        <v>View</v>
      </c>
    </row>
    <row r="547" spans="1:21" ht="30.6">
      <c r="A547" s="6">
        <v>43427.461597222224</v>
      </c>
      <c r="B547" s="7" t="str">
        <f>HYPERLINK("https://twitter.com/Vocerohispania","@Vocerohispania")</f>
        <v>@Vocerohispania</v>
      </c>
      <c r="C547" s="8" t="s">
        <v>2369</v>
      </c>
      <c r="D547" s="9" t="s">
        <v>2370</v>
      </c>
      <c r="E547" s="10" t="str">
        <f>HYPERLINK("https://twitter.com/Vocerohispania/status/1065908993669955584","1065908993669955584")</f>
        <v>1065908993669955584</v>
      </c>
      <c r="F547" s="11" t="s">
        <v>2371</v>
      </c>
      <c r="G547" s="12"/>
      <c r="H547" s="12"/>
      <c r="I547" s="13">
        <v>0</v>
      </c>
      <c r="J547" s="13">
        <v>0</v>
      </c>
      <c r="K547" s="14" t="str">
        <f>HYPERLINK("https://ifttt.com","IFTTT")</f>
        <v>IFTTT</v>
      </c>
      <c r="L547" s="13">
        <v>144</v>
      </c>
      <c r="M547" s="13">
        <v>471</v>
      </c>
      <c r="N547" s="13">
        <v>0</v>
      </c>
      <c r="O547" s="15"/>
      <c r="P547" s="6">
        <v>43197.808969907404</v>
      </c>
      <c r="Q547" s="17" t="s">
        <v>28</v>
      </c>
      <c r="R547" s="18" t="s">
        <v>2372</v>
      </c>
      <c r="S547" s="11" t="s">
        <v>2373</v>
      </c>
      <c r="T547" s="12"/>
      <c r="U547" s="10" t="str">
        <f>HYPERLINK("https://pbs.twimg.com/profile_images/982678390187667457/-6aFYbGM.jpg","View")</f>
        <v>View</v>
      </c>
    </row>
    <row r="548" spans="1:21" ht="30.6">
      <c r="A548" s="6">
        <v>43427.460636574076</v>
      </c>
      <c r="B548" s="7" t="str">
        <f>HYPERLINK("https://twitter.com/RachaelNewman15","@RachaelNewman15")</f>
        <v>@RachaelNewman15</v>
      </c>
      <c r="C548" s="8" t="s">
        <v>2341</v>
      </c>
      <c r="D548" s="9" t="s">
        <v>2374</v>
      </c>
      <c r="E548" s="10" t="str">
        <f>HYPERLINK("https://twitter.com/RachaelNewman15/status/1065908645135900672","1065908645135900672")</f>
        <v>1065908645135900672</v>
      </c>
      <c r="F548" s="11" t="s">
        <v>2375</v>
      </c>
      <c r="G548" s="12"/>
      <c r="H548" s="12"/>
      <c r="I548" s="13">
        <v>0</v>
      </c>
      <c r="J548" s="13">
        <v>1</v>
      </c>
      <c r="K548" s="14" t="str">
        <f>HYPERLINK("http://twitter.com","Twitter Web Client")</f>
        <v>Twitter Web Client</v>
      </c>
      <c r="L548" s="13">
        <v>504</v>
      </c>
      <c r="M548" s="13">
        <v>1653</v>
      </c>
      <c r="N548" s="13">
        <v>7</v>
      </c>
      <c r="O548" s="15"/>
      <c r="P548" s="6">
        <v>41352.052499999998</v>
      </c>
      <c r="Q548" s="17" t="s">
        <v>2343</v>
      </c>
      <c r="R548" s="18" t="s">
        <v>2344</v>
      </c>
      <c r="S548" s="11" t="s">
        <v>2345</v>
      </c>
      <c r="T548" s="12"/>
      <c r="U548" s="10" t="str">
        <f>HYPERLINK("https://pbs.twimg.com/profile_images/450705427517304832/pFRgl7pj.jpeg","View")</f>
        <v>View</v>
      </c>
    </row>
    <row r="549" spans="1:21" ht="20.399999999999999">
      <c r="A549" s="6">
        <v>43427.459780092591</v>
      </c>
      <c r="B549" s="7" t="str">
        <f>HYPERLINK("https://twitter.com/LuiRomario","@LuiRomario")</f>
        <v>@LuiRomario</v>
      </c>
      <c r="C549" s="8" t="s">
        <v>2376</v>
      </c>
      <c r="D549" s="9" t="s">
        <v>2377</v>
      </c>
      <c r="E549" s="10" t="str">
        <f>HYPERLINK("https://twitter.com/LuiRomario/status/1065908337152147456","1065908337152147456")</f>
        <v>1065908337152147456</v>
      </c>
      <c r="F549" s="11" t="s">
        <v>2378</v>
      </c>
      <c r="G549" s="11" t="s">
        <v>2379</v>
      </c>
      <c r="H549" s="12"/>
      <c r="I549" s="13">
        <v>1</v>
      </c>
      <c r="J549" s="13">
        <v>0</v>
      </c>
      <c r="K549" s="14" t="str">
        <f>HYPERLINK("https://dlvrit.com/","dlvr.it")</f>
        <v>dlvr.it</v>
      </c>
      <c r="L549" s="13">
        <v>465</v>
      </c>
      <c r="M549" s="13">
        <v>1841</v>
      </c>
      <c r="N549" s="13">
        <v>3</v>
      </c>
      <c r="O549" s="15"/>
      <c r="P549" s="6">
        <v>41997.357546296298</v>
      </c>
      <c r="Q549" s="12"/>
      <c r="R549" s="19"/>
      <c r="S549" s="12"/>
      <c r="T549" s="12"/>
      <c r="U549" s="10" t="str">
        <f>HYPERLINK("https://pbs.twimg.com/profile_images/587538949289086976/H5IjzM-T.jpg","View")</f>
        <v>View</v>
      </c>
    </row>
    <row r="550" spans="1:21" ht="30.6">
      <c r="A550" s="6">
        <v>43427.459710648152</v>
      </c>
      <c r="B550" s="7" t="str">
        <f>HYPERLINK("https://twitter.com/lunadebenidorm","@lunadebenidorm")</f>
        <v>@lunadebenidorm</v>
      </c>
      <c r="C550" s="8" t="s">
        <v>2380</v>
      </c>
      <c r="D550" s="9" t="s">
        <v>2381</v>
      </c>
      <c r="E550" s="10" t="str">
        <f>HYPERLINK("https://twitter.com/lunadebenidorm/status/1065908311529275392","1065908311529275392")</f>
        <v>1065908311529275392</v>
      </c>
      <c r="F550" s="11" t="s">
        <v>2382</v>
      </c>
      <c r="G550" s="12"/>
      <c r="H550" s="12"/>
      <c r="I550" s="13">
        <v>0</v>
      </c>
      <c r="J550" s="13">
        <v>1</v>
      </c>
      <c r="K550" s="14" t="str">
        <f>HYPERLINK("http://twitter.com/download/android","Twitter for Android")</f>
        <v>Twitter for Android</v>
      </c>
      <c r="L550" s="13">
        <v>3991</v>
      </c>
      <c r="M550" s="13">
        <v>3978</v>
      </c>
      <c r="N550" s="13">
        <v>79</v>
      </c>
      <c r="O550" s="15"/>
      <c r="P550" s="6">
        <v>41461.81186342593</v>
      </c>
      <c r="Q550" s="12"/>
      <c r="R550" s="18" t="s">
        <v>2383</v>
      </c>
      <c r="S550" s="12"/>
      <c r="T550" s="12"/>
      <c r="U550" s="10" t="str">
        <f>HYPERLINK("https://pbs.twimg.com/profile_images/1061229593758257153/rePCQt08.jpg","View")</f>
        <v>View</v>
      </c>
    </row>
    <row r="551" spans="1:21" ht="40.799999999999997">
      <c r="A551" s="6">
        <v>43427.458773148144</v>
      </c>
      <c r="B551" s="7" t="str">
        <f>HYPERLINK("https://twitter.com/MonarquiaEspana","@MonarquiaEspana")</f>
        <v>@MonarquiaEspana</v>
      </c>
      <c r="C551" s="8" t="s">
        <v>2385</v>
      </c>
      <c r="D551" s="9" t="s">
        <v>2386</v>
      </c>
      <c r="E551" s="10" t="str">
        <f>HYPERLINK("https://twitter.com/MonarquiaEspana/status/1065907970565914624","1065907970565914624")</f>
        <v>1065907970565914624</v>
      </c>
      <c r="F551" s="11" t="s">
        <v>2387</v>
      </c>
      <c r="G551" s="12"/>
      <c r="H551" s="12"/>
      <c r="I551" s="13">
        <v>1</v>
      </c>
      <c r="J551" s="13">
        <v>2</v>
      </c>
      <c r="K551" s="14" t="str">
        <f>HYPERLINK("http://www.hootsuite.com","Hootsuite")</f>
        <v>Hootsuite</v>
      </c>
      <c r="L551" s="13">
        <v>8346</v>
      </c>
      <c r="M551" s="13">
        <v>2944</v>
      </c>
      <c r="N551" s="13">
        <v>80</v>
      </c>
      <c r="O551" s="15"/>
      <c r="P551" s="6">
        <v>40924.372881944444</v>
      </c>
      <c r="Q551" s="17" t="s">
        <v>2391</v>
      </c>
      <c r="R551" s="18" t="s">
        <v>2392</v>
      </c>
      <c r="S551" s="11" t="s">
        <v>2393</v>
      </c>
      <c r="T551" s="12"/>
      <c r="U551" s="10" t="str">
        <f>HYPERLINK("https://pbs.twimg.com/profile_images/1053566206538584066/RJC--NHN.jpg","View")</f>
        <v>View</v>
      </c>
    </row>
    <row r="552" spans="1:21" ht="30.6">
      <c r="A552" s="6">
        <v>43427.458506944444</v>
      </c>
      <c r="B552" s="7" t="str">
        <f>HYPERLINK("https://twitter.com/BraisRodrguez1","@BraisRodrguez1")</f>
        <v>@BraisRodrguez1</v>
      </c>
      <c r="C552" s="8" t="s">
        <v>2394</v>
      </c>
      <c r="D552" s="9" t="s">
        <v>2395</v>
      </c>
      <c r="E552" s="10" t="str">
        <f>HYPERLINK("https://twitter.com/BraisRodrguez1/status/1065907872545034240","1065907872545034240")</f>
        <v>1065907872545034240</v>
      </c>
      <c r="F552" s="12"/>
      <c r="G552" s="11" t="s">
        <v>2396</v>
      </c>
      <c r="H552" s="12"/>
      <c r="I552" s="13">
        <v>0</v>
      </c>
      <c r="J552" s="13">
        <v>0</v>
      </c>
      <c r="K552" s="14" t="str">
        <f>HYPERLINK("http://twitter.com/download/android","Twitter for Android")</f>
        <v>Twitter for Android</v>
      </c>
      <c r="L552" s="13">
        <v>1029</v>
      </c>
      <c r="M552" s="13">
        <v>5000</v>
      </c>
      <c r="N552" s="13">
        <v>29</v>
      </c>
      <c r="O552" s="15"/>
      <c r="P552" s="6">
        <v>42566.668576388889</v>
      </c>
      <c r="Q552" s="17" t="s">
        <v>2397</v>
      </c>
      <c r="R552" s="18" t="s">
        <v>2398</v>
      </c>
      <c r="S552" s="12"/>
      <c r="T552" s="12"/>
      <c r="U552" s="10" t="str">
        <f>HYPERLINK("https://pbs.twimg.com/profile_images/1056547291597848576/fhCYdHDt.jpg","View")</f>
        <v>View</v>
      </c>
    </row>
    <row r="553" spans="1:21" ht="20.399999999999999">
      <c r="A553" s="6">
        <v>43427.458333333328</v>
      </c>
      <c r="B553" s="7" t="str">
        <f>HYPERLINK("https://twitter.com/ideal_jaen","@ideal_jaen")</f>
        <v>@ideal_jaen</v>
      </c>
      <c r="C553" s="8" t="s">
        <v>2399</v>
      </c>
      <c r="D553" s="9" t="s">
        <v>2400</v>
      </c>
      <c r="E553" s="10" t="str">
        <f>HYPERLINK("https://twitter.com/ideal_jaen/status/1065907811929006085","1065907811929006085")</f>
        <v>1065907811929006085</v>
      </c>
      <c r="F553" s="11" t="s">
        <v>2401</v>
      </c>
      <c r="G553" s="12"/>
      <c r="H553" s="12"/>
      <c r="I553" s="13">
        <v>0</v>
      </c>
      <c r="J553" s="13">
        <v>0</v>
      </c>
      <c r="K553" s="14" t="str">
        <f>HYPERLINK("https://about.twitter.com/products/tweetdeck","TweetDeck")</f>
        <v>TweetDeck</v>
      </c>
      <c r="L553" s="13">
        <v>19972</v>
      </c>
      <c r="M553" s="13">
        <v>401</v>
      </c>
      <c r="N553" s="13">
        <v>349</v>
      </c>
      <c r="O553" s="16" t="s">
        <v>26</v>
      </c>
      <c r="P553" s="6">
        <v>40443.463738425926</v>
      </c>
      <c r="Q553" s="17" t="s">
        <v>1960</v>
      </c>
      <c r="R553" s="18" t="s">
        <v>2402</v>
      </c>
      <c r="S553" s="11" t="s">
        <v>2403</v>
      </c>
      <c r="T553" s="12"/>
      <c r="U553" s="10" t="str">
        <f>HYPERLINK("https://pbs.twimg.com/profile_images/875627115365806080/1i1e8Euc.jpg","View")</f>
        <v>View</v>
      </c>
    </row>
    <row r="554" spans="1:21" ht="40.799999999999997">
      <c r="A554" s="6">
        <v>43427.457986111112</v>
      </c>
      <c r="B554" s="7" t="str">
        <f>HYPERLINK("https://twitter.com/progrestona","@progrestona")</f>
        <v>@progrestona</v>
      </c>
      <c r="C554" s="8" t="s">
        <v>2404</v>
      </c>
      <c r="D554" s="9" t="s">
        <v>2405</v>
      </c>
      <c r="E554" s="10" t="str">
        <f>HYPERLINK("https://twitter.com/progrestona/status/1065907686607343616","1065907686607343616")</f>
        <v>1065907686607343616</v>
      </c>
      <c r="F554" s="12"/>
      <c r="G554" s="11" t="s">
        <v>2406</v>
      </c>
      <c r="H554" s="12"/>
      <c r="I554" s="13">
        <v>4</v>
      </c>
      <c r="J554" s="13">
        <v>7</v>
      </c>
      <c r="K554" s="14" t="str">
        <f>HYPERLINK("http://twitter.com/download/android","Twitter for Android")</f>
        <v>Twitter for Android</v>
      </c>
      <c r="L554" s="13">
        <v>1559</v>
      </c>
      <c r="M554" s="13">
        <v>1586</v>
      </c>
      <c r="N554" s="13">
        <v>18</v>
      </c>
      <c r="O554" s="15"/>
      <c r="P554" s="6">
        <v>43331.657939814817</v>
      </c>
      <c r="Q554" s="17" t="s">
        <v>2407</v>
      </c>
      <c r="R554" s="18" t="s">
        <v>2408</v>
      </c>
      <c r="S554" s="12"/>
      <c r="T554" s="12"/>
      <c r="U554" s="10" t="str">
        <f>HYPERLINK("https://pbs.twimg.com/profile_images/1031633850382921728/4xGXi69u.jpg","View")</f>
        <v>View</v>
      </c>
    </row>
    <row r="555" spans="1:21" ht="40.799999999999997">
      <c r="A555" s="6">
        <v>43427.45694444445</v>
      </c>
      <c r="B555" s="7" t="str">
        <f>HYPERLINK("https://twitter.com/rodriguezBego","@rodriguezBego")</f>
        <v>@rodriguezBego</v>
      </c>
      <c r="C555" s="8" t="s">
        <v>2409</v>
      </c>
      <c r="D555" s="9" t="s">
        <v>1192</v>
      </c>
      <c r="E555" s="10" t="str">
        <f>HYPERLINK("https://twitter.com/rodriguezBego/status/1065907309904302080","1065907309904302080")</f>
        <v>1065907309904302080</v>
      </c>
      <c r="F555" s="11" t="s">
        <v>2410</v>
      </c>
      <c r="G555" s="12"/>
      <c r="H555" s="12"/>
      <c r="I555" s="13">
        <v>0</v>
      </c>
      <c r="J555" s="13">
        <v>0</v>
      </c>
      <c r="K555" s="14" t="str">
        <f t="shared" ref="K555:K556" si="95">HYPERLINK("http://twitter.com","Twitter Web Client")</f>
        <v>Twitter Web Client</v>
      </c>
      <c r="L555" s="13">
        <v>48</v>
      </c>
      <c r="M555" s="13">
        <v>119</v>
      </c>
      <c r="N555" s="13">
        <v>5</v>
      </c>
      <c r="O555" s="15"/>
      <c r="P555" s="6">
        <v>40754.475347222222</v>
      </c>
      <c r="Q555" s="17" t="s">
        <v>2411</v>
      </c>
      <c r="R555" s="18" t="s">
        <v>2412</v>
      </c>
      <c r="S555" s="12"/>
      <c r="T555" s="12"/>
      <c r="U555" s="10" t="str">
        <f>HYPERLINK("https://pbs.twimg.com/profile_images/1059124497234706447/9d18c2RW.jpg","View")</f>
        <v>View</v>
      </c>
    </row>
    <row r="556" spans="1:21" ht="20.399999999999999">
      <c r="A556" s="6">
        <v>43427.455775462964</v>
      </c>
      <c r="B556" s="7" t="str">
        <f>HYPERLINK("https://twitter.com/manutriana54","@manutriana54")</f>
        <v>@manutriana54</v>
      </c>
      <c r="C556" s="8" t="s">
        <v>2413</v>
      </c>
      <c r="D556" s="9" t="s">
        <v>2414</v>
      </c>
      <c r="E556" s="10" t="str">
        <f>HYPERLINK("https://twitter.com/manutriana54/status/1065906884220280832","1065906884220280832")</f>
        <v>1065906884220280832</v>
      </c>
      <c r="F556" s="12"/>
      <c r="G556" s="12"/>
      <c r="H556" s="12"/>
      <c r="I556" s="13">
        <v>0</v>
      </c>
      <c r="J556" s="13">
        <v>1</v>
      </c>
      <c r="K556" s="14" t="str">
        <f t="shared" si="95"/>
        <v>Twitter Web Client</v>
      </c>
      <c r="L556" s="13">
        <v>618</v>
      </c>
      <c r="M556" s="13">
        <v>578</v>
      </c>
      <c r="N556" s="13">
        <v>2</v>
      </c>
      <c r="O556" s="15"/>
      <c r="P556" s="6">
        <v>42485.334814814814</v>
      </c>
      <c r="Q556" s="12"/>
      <c r="R556" s="19"/>
      <c r="S556" s="12"/>
      <c r="T556" s="12"/>
      <c r="U556" s="10" t="str">
        <f>HYPERLINK("https://pbs.twimg.com/profile_images/853130065730818048/3P4EPxb9.jpg","View")</f>
        <v>View</v>
      </c>
    </row>
    <row r="557" spans="1:21" ht="30.6">
      <c r="A557" s="6">
        <v>43427.455428240741</v>
      </c>
      <c r="B557" s="7" t="str">
        <f>HYPERLINK("https://twitter.com/diariodecuba","@diariodecuba")</f>
        <v>@diariodecuba</v>
      </c>
      <c r="C557" s="8" t="s">
        <v>720</v>
      </c>
      <c r="D557" s="9" t="s">
        <v>2415</v>
      </c>
      <c r="E557" s="10" t="str">
        <f>HYPERLINK("https://twitter.com/diariodecuba/status/1065906760341381121","1065906760341381121")</f>
        <v>1065906760341381121</v>
      </c>
      <c r="F557" s="11" t="s">
        <v>2416</v>
      </c>
      <c r="G557" s="11" t="s">
        <v>2417</v>
      </c>
      <c r="H557" s="12"/>
      <c r="I557" s="13">
        <v>0</v>
      </c>
      <c r="J557" s="13">
        <v>0</v>
      </c>
      <c r="K557" s="14" t="str">
        <f>HYPERLINK("https://dlvrit.com/","dlvr.it")</f>
        <v>dlvr.it</v>
      </c>
      <c r="L557" s="13">
        <v>20453</v>
      </c>
      <c r="M557" s="13">
        <v>914</v>
      </c>
      <c r="N557" s="13">
        <v>435</v>
      </c>
      <c r="O557" s="15"/>
      <c r="P557" s="6">
        <v>39746.63994212963</v>
      </c>
      <c r="Q557" s="17" t="s">
        <v>27</v>
      </c>
      <c r="R557" s="18" t="s">
        <v>723</v>
      </c>
      <c r="S557" s="11" t="s">
        <v>724</v>
      </c>
      <c r="T557" s="12"/>
      <c r="U557" s="10" t="str">
        <f>HYPERLINK("https://pbs.twimg.com/profile_images/978647479951544321/rni_X102.jpg","View")</f>
        <v>View</v>
      </c>
    </row>
    <row r="558" spans="1:21" ht="20.399999999999999">
      <c r="A558" s="6">
        <v>43427.455011574071</v>
      </c>
      <c r="B558" s="7" t="str">
        <f>HYPERLINK("https://twitter.com/pupilasombrada","@pupilasombrada")</f>
        <v>@pupilasombrada</v>
      </c>
      <c r="C558" s="8" t="s">
        <v>2418</v>
      </c>
      <c r="D558" s="9" t="s">
        <v>2419</v>
      </c>
      <c r="E558" s="10" t="str">
        <f>HYPERLINK("https://twitter.com/pupilasombrada/status/1065906607727525888","1065906607727525888")</f>
        <v>1065906607727525888</v>
      </c>
      <c r="F558" s="11" t="s">
        <v>2420</v>
      </c>
      <c r="G558" s="12"/>
      <c r="H558" s="12"/>
      <c r="I558" s="13">
        <v>0</v>
      </c>
      <c r="J558" s="13">
        <v>0</v>
      </c>
      <c r="K558" s="14" t="str">
        <f t="shared" ref="K558:K559" si="96">HYPERLINK("https://ifttt.com","IFTTT")</f>
        <v>IFTTT</v>
      </c>
      <c r="L558" s="13">
        <v>657</v>
      </c>
      <c r="M558" s="13">
        <v>1136</v>
      </c>
      <c r="N558" s="13">
        <v>17</v>
      </c>
      <c r="O558" s="15"/>
      <c r="P558" s="6">
        <v>42006.912951388891</v>
      </c>
      <c r="Q558" s="17" t="s">
        <v>2421</v>
      </c>
      <c r="R558" s="18" t="s">
        <v>2422</v>
      </c>
      <c r="S558" s="12"/>
      <c r="T558" s="12"/>
      <c r="U558" s="10" t="str">
        <f>HYPERLINK("https://pbs.twimg.com/profile_images/551119689883983872/qE4DsPI8.jpeg","View")</f>
        <v>View</v>
      </c>
    </row>
    <row r="559" spans="1:21" ht="20.399999999999999">
      <c r="A559" s="6">
        <v>43427.454953703702</v>
      </c>
      <c r="B559" s="7" t="str">
        <f>HYPERLINK("https://twitter.com/newscaliente","@newscaliente")</f>
        <v>@newscaliente</v>
      </c>
      <c r="C559" s="8" t="s">
        <v>2423</v>
      </c>
      <c r="D559" s="9" t="s">
        <v>2424</v>
      </c>
      <c r="E559" s="10" t="str">
        <f>HYPERLINK("https://twitter.com/newscaliente/status/1065906588089810945","1065906588089810945")</f>
        <v>1065906588089810945</v>
      </c>
      <c r="F559" s="11" t="s">
        <v>2420</v>
      </c>
      <c r="G559" s="12"/>
      <c r="H559" s="12"/>
      <c r="I559" s="13">
        <v>0</v>
      </c>
      <c r="J559" s="13">
        <v>0</v>
      </c>
      <c r="K559" s="14" t="str">
        <f t="shared" si="96"/>
        <v>IFTTT</v>
      </c>
      <c r="L559" s="13">
        <v>6642</v>
      </c>
      <c r="M559" s="13">
        <v>7877</v>
      </c>
      <c r="N559" s="13">
        <v>29</v>
      </c>
      <c r="O559" s="15"/>
      <c r="P559" s="6">
        <v>41648.70994212963</v>
      </c>
      <c r="Q559" s="17" t="s">
        <v>2425</v>
      </c>
      <c r="R559" s="18" t="s">
        <v>2426</v>
      </c>
      <c r="S559" s="12"/>
      <c r="T559" s="12"/>
      <c r="U559" s="10" t="str">
        <f>HYPERLINK("https://pbs.twimg.com/profile_images/621340757010415617/bVAQ8BQ_.jpg","View")</f>
        <v>View</v>
      </c>
    </row>
    <row r="560" spans="1:21" ht="102">
      <c r="A560" s="6">
        <v>43427.454872685186</v>
      </c>
      <c r="B560" s="7" t="str">
        <f>HYPERLINK("https://twitter.com/Antonio29407099","@Antonio29407099")</f>
        <v>@Antonio29407099</v>
      </c>
      <c r="C560" s="8" t="s">
        <v>2427</v>
      </c>
      <c r="D560" s="9" t="s">
        <v>2428</v>
      </c>
      <c r="E560" s="10" t="str">
        <f>HYPERLINK("https://twitter.com/Antonio29407099/status/1065906558083710976","1065906558083710976")</f>
        <v>1065906558083710976</v>
      </c>
      <c r="F560" s="11" t="s">
        <v>2429</v>
      </c>
      <c r="G560" s="12"/>
      <c r="H560" s="12"/>
      <c r="I560" s="13">
        <v>0</v>
      </c>
      <c r="J560" s="13">
        <v>1</v>
      </c>
      <c r="K560" s="14" t="str">
        <f t="shared" ref="K560:K561" si="97">HYPERLINK("http://twitter.com","Twitter Web Client")</f>
        <v>Twitter Web Client</v>
      </c>
      <c r="L560" s="13">
        <v>409</v>
      </c>
      <c r="M560" s="13">
        <v>420</v>
      </c>
      <c r="N560" s="13">
        <v>8</v>
      </c>
      <c r="O560" s="15"/>
      <c r="P560" s="6">
        <v>40986.32503472222</v>
      </c>
      <c r="Q560" s="17" t="s">
        <v>2430</v>
      </c>
      <c r="R560" s="18" t="s">
        <v>2431</v>
      </c>
      <c r="S560" s="12"/>
      <c r="T560" s="12"/>
      <c r="U560" s="10" t="str">
        <f>HYPERLINK("https://pbs.twimg.com/profile_images/1065943948890382336/j9ezRSrk.jpg","View")</f>
        <v>View</v>
      </c>
    </row>
    <row r="561" spans="1:21" ht="40.799999999999997">
      <c r="A561" s="6">
        <v>43427.454710648148</v>
      </c>
      <c r="B561" s="7" t="str">
        <f>HYPERLINK("https://twitter.com/RubenMorenoPal","@RubenMorenoPal")</f>
        <v>@RubenMorenoPal</v>
      </c>
      <c r="C561" s="8" t="s">
        <v>2432</v>
      </c>
      <c r="D561" s="9" t="s">
        <v>2433</v>
      </c>
      <c r="E561" s="10" t="str">
        <f>HYPERLINK("https://twitter.com/RubenMorenoPal/status/1065906496653967361","1065906496653967361")</f>
        <v>1065906496653967361</v>
      </c>
      <c r="F561" s="11" t="s">
        <v>2434</v>
      </c>
      <c r="G561" s="12"/>
      <c r="H561" s="12"/>
      <c r="I561" s="13">
        <v>0</v>
      </c>
      <c r="J561" s="13">
        <v>0</v>
      </c>
      <c r="K561" s="14" t="str">
        <f t="shared" si="97"/>
        <v>Twitter Web Client</v>
      </c>
      <c r="L561" s="13">
        <v>97</v>
      </c>
      <c r="M561" s="13">
        <v>373</v>
      </c>
      <c r="N561" s="13">
        <v>0</v>
      </c>
      <c r="O561" s="15"/>
      <c r="P561" s="6">
        <v>43411.94131944445</v>
      </c>
      <c r="Q561" s="17" t="s">
        <v>810</v>
      </c>
      <c r="R561" s="18" t="s">
        <v>2435</v>
      </c>
      <c r="S561" s="11" t="s">
        <v>2436</v>
      </c>
      <c r="T561" s="12"/>
      <c r="U561" s="10" t="str">
        <f>HYPERLINK("https://pbs.twimg.com/profile_images/1060286128492822529/3RWDaKzc.jpg","View")</f>
        <v>View</v>
      </c>
    </row>
    <row r="562" spans="1:21" ht="20.399999999999999">
      <c r="A562" s="6">
        <v>43427.454236111109</v>
      </c>
      <c r="B562" s="7" t="str">
        <f>HYPERLINK("https://twitter.com/Veo_es","@Veo_es")</f>
        <v>@Veo_es</v>
      </c>
      <c r="C562" s="8" t="s">
        <v>2437</v>
      </c>
      <c r="D562" s="9" t="s">
        <v>2438</v>
      </c>
      <c r="E562" s="10" t="str">
        <f>HYPERLINK("https://twitter.com/Veo_es/status/1065906327895953409","1065906327895953409")</f>
        <v>1065906327895953409</v>
      </c>
      <c r="F562" s="11" t="s">
        <v>2439</v>
      </c>
      <c r="G562" s="11" t="s">
        <v>2440</v>
      </c>
      <c r="H562" s="12"/>
      <c r="I562" s="13">
        <v>0</v>
      </c>
      <c r="J562" s="13">
        <v>0</v>
      </c>
      <c r="K562" s="14" t="str">
        <f>HYPERLINK("https://dlvrit.com/","dlvr.it")</f>
        <v>dlvr.it</v>
      </c>
      <c r="L562" s="13">
        <v>631</v>
      </c>
      <c r="M562" s="13">
        <v>1079</v>
      </c>
      <c r="N562" s="13">
        <v>38</v>
      </c>
      <c r="O562" s="15"/>
      <c r="P562" s="6">
        <v>41884.968032407407</v>
      </c>
      <c r="Q562" s="17" t="s">
        <v>28</v>
      </c>
      <c r="R562" s="18" t="s">
        <v>2441</v>
      </c>
      <c r="S562" s="11" t="s">
        <v>2442</v>
      </c>
      <c r="T562" s="12"/>
      <c r="U562" s="10" t="str">
        <f>HYPERLINK("https://pbs.twimg.com/profile_images/834874618083164160/c58fR34v.jpg","View")</f>
        <v>View</v>
      </c>
    </row>
    <row r="563" spans="1:21" ht="30.6">
      <c r="A563" s="6">
        <v>43427.452581018515</v>
      </c>
      <c r="B563" s="7" t="str">
        <f>HYPERLINK("https://twitter.com/EFETV","@EFETV")</f>
        <v>@EFETV</v>
      </c>
      <c r="C563" s="8" t="s">
        <v>2443</v>
      </c>
      <c r="D563" s="9" t="s">
        <v>2444</v>
      </c>
      <c r="E563" s="10" t="str">
        <f>HYPERLINK("https://twitter.com/EFETV/status/1065905728588865537","1065905728588865537")</f>
        <v>1065905728588865537</v>
      </c>
      <c r="F563" s="11" t="s">
        <v>2445</v>
      </c>
      <c r="G563" s="12"/>
      <c r="H563" s="12"/>
      <c r="I563" s="13">
        <v>0</v>
      </c>
      <c r="J563" s="13">
        <v>0</v>
      </c>
      <c r="K563" s="14" t="str">
        <f>HYPERLINK("http://twitter.com","Twitter Web Client")</f>
        <v>Twitter Web Client</v>
      </c>
      <c r="L563" s="13">
        <v>5087</v>
      </c>
      <c r="M563" s="13">
        <v>72</v>
      </c>
      <c r="N563" s="13">
        <v>139</v>
      </c>
      <c r="O563" s="16" t="s">
        <v>26</v>
      </c>
      <c r="P563" s="6">
        <v>41099.541388888887</v>
      </c>
      <c r="Q563" s="17" t="s">
        <v>28</v>
      </c>
      <c r="R563" s="18" t="s">
        <v>2446</v>
      </c>
      <c r="S563" s="11" t="s">
        <v>2447</v>
      </c>
      <c r="T563" s="12"/>
      <c r="U563" s="10" t="str">
        <f>HYPERLINK("https://pbs.twimg.com/profile_images/930879449805000704/NWXA0CWf.jpg","View")</f>
        <v>View</v>
      </c>
    </row>
    <row r="564" spans="1:21" ht="40.799999999999997">
      <c r="A564" s="6">
        <v>43427.452303240745</v>
      </c>
      <c r="B564" s="7" t="str">
        <f>HYPERLINK("https://twitter.com/cmpoggio","@cmpoggio")</f>
        <v>@cmpoggio</v>
      </c>
      <c r="C564" s="8" t="s">
        <v>2448</v>
      </c>
      <c r="D564" s="9" t="s">
        <v>2449</v>
      </c>
      <c r="E564" s="10" t="str">
        <f>HYPERLINK("https://twitter.com/cmpoggio/status/1065905627757719552","1065905627757719552")</f>
        <v>1065905627757719552</v>
      </c>
      <c r="F564" s="12"/>
      <c r="G564" s="11" t="s">
        <v>2450</v>
      </c>
      <c r="H564" s="12"/>
      <c r="I564" s="13">
        <v>4</v>
      </c>
      <c r="J564" s="13">
        <v>3</v>
      </c>
      <c r="K564" s="14" t="str">
        <f>HYPERLINK("http://twitter.com/download/iphone","Twitter for iPhone")</f>
        <v>Twitter for iPhone</v>
      </c>
      <c r="L564" s="13">
        <v>1351</v>
      </c>
      <c r="M564" s="13">
        <v>1422</v>
      </c>
      <c r="N564" s="13">
        <v>32</v>
      </c>
      <c r="O564" s="15"/>
      <c r="P564" s="6">
        <v>40742.024456018517</v>
      </c>
      <c r="Q564" s="17" t="s">
        <v>2451</v>
      </c>
      <c r="R564" s="18" t="s">
        <v>2452</v>
      </c>
      <c r="S564" s="12"/>
      <c r="T564" s="12"/>
      <c r="U564" s="10" t="str">
        <f>HYPERLINK("https://pbs.twimg.com/profile_images/1045325531724607488/RG3z47Cj.jpg","View")</f>
        <v>View</v>
      </c>
    </row>
    <row r="565" spans="1:21" ht="20.399999999999999">
      <c r="A565" s="6">
        <v>43427.451319444444</v>
      </c>
      <c r="B565" s="7" t="str">
        <f>HYPERLINK("https://twitter.com/merianmi","@merianmi")</f>
        <v>@merianmi</v>
      </c>
      <c r="C565" s="8" t="s">
        <v>2453</v>
      </c>
      <c r="D565" s="9" t="s">
        <v>2454</v>
      </c>
      <c r="E565" s="10" t="str">
        <f>HYPERLINK("https://twitter.com/merianmi/status/1065905267903221760","1065905267903221760")</f>
        <v>1065905267903221760</v>
      </c>
      <c r="F565" s="17" t="s">
        <v>2455</v>
      </c>
      <c r="G565" s="12"/>
      <c r="H565" s="12"/>
      <c r="I565" s="13">
        <v>0</v>
      </c>
      <c r="J565" s="13">
        <v>0</v>
      </c>
      <c r="K565" s="14" t="str">
        <f>HYPERLINK("http://www.facebook.com/twitter","Facebook")</f>
        <v>Facebook</v>
      </c>
      <c r="L565" s="13">
        <v>1034</v>
      </c>
      <c r="M565" s="13">
        <v>1921</v>
      </c>
      <c r="N565" s="13">
        <v>24</v>
      </c>
      <c r="O565" s="15"/>
      <c r="P565" s="6">
        <v>40169.857233796298</v>
      </c>
      <c r="Q565" s="17" t="s">
        <v>2456</v>
      </c>
      <c r="R565" s="18" t="s">
        <v>2457</v>
      </c>
      <c r="S565" s="11" t="s">
        <v>2458</v>
      </c>
      <c r="T565" s="12"/>
      <c r="U565" s="10" t="str">
        <f>HYPERLINK("https://pbs.twimg.com/profile_images/854401811830251521/dIYzgtDT.jpg","View")</f>
        <v>View</v>
      </c>
    </row>
    <row r="566" spans="1:21" ht="20.399999999999999">
      <c r="A566" s="6">
        <v>43427.45103009259</v>
      </c>
      <c r="B566" s="7" t="str">
        <f>HYPERLINK("https://twitter.com/islamiacuba","@islamiacuba")</f>
        <v>@islamiacuba</v>
      </c>
      <c r="C566" s="8" t="s">
        <v>2459</v>
      </c>
      <c r="D566" s="9" t="s">
        <v>2419</v>
      </c>
      <c r="E566" s="10" t="str">
        <f>HYPERLINK("https://twitter.com/islamiacuba/status/1065905162743685121","1065905162743685121")</f>
        <v>1065905162743685121</v>
      </c>
      <c r="F566" s="11" t="s">
        <v>2420</v>
      </c>
      <c r="G566" s="12"/>
      <c r="H566" s="12"/>
      <c r="I566" s="13">
        <v>0</v>
      </c>
      <c r="J566" s="13">
        <v>0</v>
      </c>
      <c r="K566" s="14" t="str">
        <f>HYPERLINK("https://ifttt.com","IFTTT")</f>
        <v>IFTTT</v>
      </c>
      <c r="L566" s="13">
        <v>467</v>
      </c>
      <c r="M566" s="13">
        <v>732</v>
      </c>
      <c r="N566" s="13">
        <v>6</v>
      </c>
      <c r="O566" s="15"/>
      <c r="P566" s="6">
        <v>42006.92496527778</v>
      </c>
      <c r="Q566" s="17" t="s">
        <v>2461</v>
      </c>
      <c r="R566" s="18" t="s">
        <v>2462</v>
      </c>
      <c r="S566" s="12"/>
      <c r="T566" s="12"/>
      <c r="U566" s="10" t="str">
        <f>HYPERLINK("https://pbs.twimg.com/profile_images/574680022088163330/4kj5ZUx3.png","View")</f>
        <v>View</v>
      </c>
    </row>
    <row r="567" spans="1:21" ht="30.6">
      <c r="A567" s="6">
        <v>43427.451018518521</v>
      </c>
      <c r="B567" s="7" t="str">
        <f>HYPERLINK("https://twitter.com/blasco_pepe","@blasco_pepe")</f>
        <v>@blasco_pepe</v>
      </c>
      <c r="C567" s="8" t="s">
        <v>265</v>
      </c>
      <c r="D567" s="9" t="s">
        <v>2463</v>
      </c>
      <c r="E567" s="10" t="str">
        <f>HYPERLINK("https://twitter.com/blasco_pepe/status/1065905160852045824","1065905160852045824")</f>
        <v>1065905160852045824</v>
      </c>
      <c r="F567" s="11" t="s">
        <v>2464</v>
      </c>
      <c r="G567" s="12"/>
      <c r="H567" s="12"/>
      <c r="I567" s="13">
        <v>0</v>
      </c>
      <c r="J567" s="13">
        <v>0</v>
      </c>
      <c r="K567" s="14" t="str">
        <f t="shared" ref="K567:K568" si="98">HYPERLINK("http://twitter.com","Twitter Web Client")</f>
        <v>Twitter Web Client</v>
      </c>
      <c r="L567" s="13">
        <v>1603</v>
      </c>
      <c r="M567" s="13">
        <v>2181</v>
      </c>
      <c r="N567" s="13">
        <v>38</v>
      </c>
      <c r="O567" s="15"/>
      <c r="P567" s="6">
        <v>40681.549479166664</v>
      </c>
      <c r="Q567" s="17" t="s">
        <v>270</v>
      </c>
      <c r="R567" s="18" t="s">
        <v>271</v>
      </c>
      <c r="S567" s="12"/>
      <c r="T567" s="12"/>
      <c r="U567" s="10" t="str">
        <f>HYPERLINK("https://pbs.twimg.com/profile_images/922599355898613762/OobumNpQ.jpg","View")</f>
        <v>View</v>
      </c>
    </row>
    <row r="568" spans="1:21" ht="40.799999999999997">
      <c r="A568" s="6">
        <v>43427.450567129628</v>
      </c>
      <c r="B568" s="7" t="str">
        <f>HYPERLINK("https://twitter.com/EmbajadorElioRP","@EmbajadorElioRP")</f>
        <v>@EmbajadorElioRP</v>
      </c>
      <c r="C568" s="8" t="s">
        <v>2465</v>
      </c>
      <c r="D568" s="9" t="s">
        <v>2466</v>
      </c>
      <c r="E568" s="10" t="str">
        <f>HYPERLINK("https://twitter.com/EmbajadorElioRP/status/1065904996884119552","1065904996884119552")</f>
        <v>1065904996884119552</v>
      </c>
      <c r="F568" s="12"/>
      <c r="G568" s="11" t="s">
        <v>2467</v>
      </c>
      <c r="H568" s="12"/>
      <c r="I568" s="13">
        <v>0</v>
      </c>
      <c r="J568" s="13">
        <v>0</v>
      </c>
      <c r="K568" s="14" t="str">
        <f t="shared" si="98"/>
        <v>Twitter Web Client</v>
      </c>
      <c r="L568" s="13">
        <v>333</v>
      </c>
      <c r="M568" s="13">
        <v>54</v>
      </c>
      <c r="N568" s="13">
        <v>4</v>
      </c>
      <c r="O568" s="15"/>
      <c r="P568" s="6">
        <v>43027.528541666667</v>
      </c>
      <c r="Q568" s="17" t="s">
        <v>1051</v>
      </c>
      <c r="R568" s="18" t="s">
        <v>2468</v>
      </c>
      <c r="S568" s="12"/>
      <c r="T568" s="12"/>
      <c r="U568" s="10" t="str">
        <f>HYPERLINK("https://pbs.twimg.com/profile_images/920969233093230593/ciaB1CoF.jpg","View")</f>
        <v>View</v>
      </c>
    </row>
    <row r="569" spans="1:21" ht="30.6">
      <c r="A569" s="6">
        <v>43427.450520833328</v>
      </c>
      <c r="B569" s="7" t="str">
        <f>HYPERLINK("https://twitter.com/anairaMPatricia","@anairaMPatricia")</f>
        <v>@anairaMPatricia</v>
      </c>
      <c r="C569" s="8" t="s">
        <v>2469</v>
      </c>
      <c r="D569" s="9" t="s">
        <v>2470</v>
      </c>
      <c r="E569" s="10" t="str">
        <f>HYPERLINK("https://twitter.com/anairaMPatricia/status/1065904978760474625","1065904978760474625")</f>
        <v>1065904978760474625</v>
      </c>
      <c r="F569" s="17" t="s">
        <v>2471</v>
      </c>
      <c r="G569" s="11" t="s">
        <v>2472</v>
      </c>
      <c r="H569" s="12"/>
      <c r="I569" s="13">
        <v>0</v>
      </c>
      <c r="J569" s="13">
        <v>2</v>
      </c>
      <c r="K569" s="14" t="str">
        <f>HYPERLINK("http://twitter.com/download/iphone","Twitter for iPhone")</f>
        <v>Twitter for iPhone</v>
      </c>
      <c r="L569" s="13">
        <v>267</v>
      </c>
      <c r="M569" s="13">
        <v>165</v>
      </c>
      <c r="N569" s="13">
        <v>0</v>
      </c>
      <c r="O569" s="15"/>
      <c r="P569" s="6">
        <v>40032.298379629632</v>
      </c>
      <c r="Q569" s="17" t="s">
        <v>27</v>
      </c>
      <c r="R569" s="18" t="s">
        <v>2473</v>
      </c>
      <c r="S569" s="12"/>
      <c r="T569" s="12"/>
      <c r="U569" s="10" t="str">
        <f>HYPERLINK("https://pbs.twimg.com/profile_images/992575874707881984/UxnwQBBP.jpg","View")</f>
        <v>View</v>
      </c>
    </row>
    <row r="570" spans="1:21" ht="61.2">
      <c r="A570" s="6">
        <v>43427.449907407412</v>
      </c>
      <c r="B570" s="7" t="str">
        <f>HYPERLINK("https://twitter.com/GrupoPopularGal","@GrupoPopularGal")</f>
        <v>@GrupoPopularGal</v>
      </c>
      <c r="C570" s="8" t="s">
        <v>2474</v>
      </c>
      <c r="D570" s="9" t="s">
        <v>2475</v>
      </c>
      <c r="E570" s="10" t="str">
        <f>HYPERLINK("https://twitter.com/GrupoPopularGal/status/1065904758844735488","1065904758844735488")</f>
        <v>1065904758844735488</v>
      </c>
      <c r="F570" s="12"/>
      <c r="G570" s="11" t="s">
        <v>2476</v>
      </c>
      <c r="H570" s="12"/>
      <c r="I570" s="13">
        <v>6</v>
      </c>
      <c r="J570" s="13">
        <v>2</v>
      </c>
      <c r="K570" s="14" t="str">
        <f>HYPERLINK("http://twitter.com","Twitter Web Client")</f>
        <v>Twitter Web Client</v>
      </c>
      <c r="L570" s="13">
        <v>3030</v>
      </c>
      <c r="M570" s="13">
        <v>1296</v>
      </c>
      <c r="N570" s="13">
        <v>62</v>
      </c>
      <c r="O570" s="16" t="s">
        <v>26</v>
      </c>
      <c r="P570" s="6">
        <v>41339.5465625</v>
      </c>
      <c r="Q570" s="17" t="s">
        <v>2477</v>
      </c>
      <c r="R570" s="18" t="s">
        <v>2478</v>
      </c>
      <c r="S570" s="11" t="s">
        <v>2479</v>
      </c>
      <c r="T570" s="12"/>
      <c r="U570" s="10" t="str">
        <f>HYPERLINK("https://pbs.twimg.com/profile_images/789008595232907264/gS9-rXEi.jpg","View")</f>
        <v>View</v>
      </c>
    </row>
    <row r="571" spans="1:21" ht="51">
      <c r="A571" s="6">
        <v>43427.449814814812</v>
      </c>
      <c r="B571" s="7" t="str">
        <f>HYPERLINK("https://twitter.com/PabloMM","@PabloMM")</f>
        <v>@PabloMM</v>
      </c>
      <c r="C571" s="8" t="s">
        <v>2480</v>
      </c>
      <c r="D571" s="9" t="s">
        <v>415</v>
      </c>
      <c r="E571" s="10" t="str">
        <f>HYPERLINK("https://twitter.com/PabloMM/status/1065904723360968704","1065904723360968704")</f>
        <v>1065904723360968704</v>
      </c>
      <c r="F571" s="12"/>
      <c r="G571" s="12"/>
      <c r="H571" s="12"/>
      <c r="I571" s="13">
        <v>650</v>
      </c>
      <c r="J571" s="13">
        <v>1170</v>
      </c>
      <c r="K571" s="14" t="str">
        <f>HYPERLINK("http://twitter.com/download/iphone","Twitter for iPhone")</f>
        <v>Twitter for iPhone</v>
      </c>
      <c r="L571" s="13">
        <v>80266</v>
      </c>
      <c r="M571" s="13">
        <v>347</v>
      </c>
      <c r="N571" s="13">
        <v>818</v>
      </c>
      <c r="O571" s="15"/>
      <c r="P571" s="6">
        <v>39832.060416666667</v>
      </c>
      <c r="Q571" s="17" t="s">
        <v>2481</v>
      </c>
      <c r="R571" s="18" t="s">
        <v>2482</v>
      </c>
      <c r="S571" s="11" t="s">
        <v>2483</v>
      </c>
      <c r="T571" s="12"/>
      <c r="U571" s="10" t="str">
        <f>HYPERLINK("https://pbs.twimg.com/profile_images/874642070916517888/1-airZce.jpg","View")</f>
        <v>View</v>
      </c>
    </row>
    <row r="572" spans="1:21" ht="20.399999999999999">
      <c r="A572" s="6">
        <v>43427.44902777778</v>
      </c>
      <c r="B572" s="7" t="str">
        <f>HYPERLINK("https://twitter.com/ylayag","@ylayag")</f>
        <v>@ylayag</v>
      </c>
      <c r="C572" s="8" t="s">
        <v>2484</v>
      </c>
      <c r="D572" s="9" t="s">
        <v>2485</v>
      </c>
      <c r="E572" s="10" t="str">
        <f>HYPERLINK("https://twitter.com/ylayag/status/1065904437590401026","1065904437590401026")</f>
        <v>1065904437590401026</v>
      </c>
      <c r="F572" s="11" t="s">
        <v>2486</v>
      </c>
      <c r="G572" s="12"/>
      <c r="H572" s="12"/>
      <c r="I572" s="13">
        <v>0</v>
      </c>
      <c r="J572" s="13">
        <v>0</v>
      </c>
      <c r="K572" s="14" t="str">
        <f t="shared" ref="K572:K573" si="99">HYPERLINK("http://twitter.com","Twitter Web Client")</f>
        <v>Twitter Web Client</v>
      </c>
      <c r="L572" s="13">
        <v>6539</v>
      </c>
      <c r="M572" s="13">
        <v>6667</v>
      </c>
      <c r="N572" s="13">
        <v>10</v>
      </c>
      <c r="O572" s="15"/>
      <c r="P572" s="6">
        <v>40365.620381944442</v>
      </c>
      <c r="Q572" s="17" t="s">
        <v>2487</v>
      </c>
      <c r="R572" s="18" t="s">
        <v>2488</v>
      </c>
      <c r="S572" s="12"/>
      <c r="T572" s="12"/>
      <c r="U572" s="10" t="str">
        <f>HYPERLINK("https://pbs.twimg.com/profile_images/551829617628442628/tZQkGbIg.jpeg","View")</f>
        <v>View</v>
      </c>
    </row>
    <row r="573" spans="1:21" ht="40.799999999999997">
      <c r="A573" s="6">
        <v>43427.448923611111</v>
      </c>
      <c r="B573" s="7" t="str">
        <f>HYPERLINK("https://twitter.com/CHEMADUESO","@CHEMADUESO")</f>
        <v>@CHEMADUESO</v>
      </c>
      <c r="C573" s="8" t="s">
        <v>2489</v>
      </c>
      <c r="D573" s="9" t="s">
        <v>2490</v>
      </c>
      <c r="E573" s="10" t="str">
        <f>HYPERLINK("https://twitter.com/CHEMADUESO/status/1065904401284546562","1065904401284546562")</f>
        <v>1065904401284546562</v>
      </c>
      <c r="F573" s="12"/>
      <c r="G573" s="12"/>
      <c r="H573" s="12"/>
      <c r="I573" s="13">
        <v>0</v>
      </c>
      <c r="J573" s="13">
        <v>0</v>
      </c>
      <c r="K573" s="14" t="str">
        <f t="shared" si="99"/>
        <v>Twitter Web Client</v>
      </c>
      <c r="L573" s="13">
        <v>191</v>
      </c>
      <c r="M573" s="13">
        <v>127</v>
      </c>
      <c r="N573" s="13">
        <v>8</v>
      </c>
      <c r="O573" s="15"/>
      <c r="P573" s="6">
        <v>41111.93509259259</v>
      </c>
      <c r="Q573" s="17" t="s">
        <v>2332</v>
      </c>
      <c r="R573" s="18" t="s">
        <v>2491</v>
      </c>
      <c r="S573" s="12"/>
      <c r="T573" s="12"/>
      <c r="U573" s="10" t="str">
        <f>HYPERLINK("https://pbs.twimg.com/profile_images/579258250257936384/auE5k4Bl.jpg","View")</f>
        <v>View</v>
      </c>
    </row>
    <row r="574" spans="1:21" ht="40.799999999999997">
      <c r="A574" s="6">
        <v>43427.448530092588</v>
      </c>
      <c r="B574" s="7" t="str">
        <f>HYPERLINK("https://twitter.com/slaymultimedios","@slaymultimedios")</f>
        <v>@slaymultimedios</v>
      </c>
      <c r="C574" s="8" t="s">
        <v>562</v>
      </c>
      <c r="D574" s="9" t="s">
        <v>2492</v>
      </c>
      <c r="E574" s="10" t="str">
        <f>HYPERLINK("https://twitter.com/slaymultimedios/status/1065904257898024960","1065904257898024960")</f>
        <v>1065904257898024960</v>
      </c>
      <c r="F574" s="11" t="s">
        <v>2493</v>
      </c>
      <c r="G574" s="12"/>
      <c r="H574" s="12"/>
      <c r="I574" s="13">
        <v>0</v>
      </c>
      <c r="J574" s="13">
        <v>0</v>
      </c>
      <c r="K574" s="14" t="str">
        <f>HYPERLINK("http://www.slaymultimedios.com","WebSiteSlayMultimedios")</f>
        <v>WebSiteSlayMultimedios</v>
      </c>
      <c r="L574" s="13">
        <v>41749</v>
      </c>
      <c r="M574" s="13">
        <v>178</v>
      </c>
      <c r="N574" s="13">
        <v>410</v>
      </c>
      <c r="O574" s="15"/>
      <c r="P574" s="6">
        <v>40209.93105324074</v>
      </c>
      <c r="Q574" s="17" t="s">
        <v>565</v>
      </c>
      <c r="R574" s="18" t="s">
        <v>566</v>
      </c>
      <c r="S574" s="11" t="s">
        <v>567</v>
      </c>
      <c r="T574" s="12"/>
      <c r="U574" s="10" t="str">
        <f>HYPERLINK("https://pbs.twimg.com/profile_images/714690465916817408/1NXaiuED.jpg","View")</f>
        <v>View</v>
      </c>
    </row>
    <row r="575" spans="1:21" ht="51">
      <c r="A575" s="6">
        <v>43427.447476851856</v>
      </c>
      <c r="B575" s="7" t="str">
        <f>HYPERLINK("https://twitter.com/estaurotida","@estaurotida")</f>
        <v>@estaurotida</v>
      </c>
      <c r="C575" s="8" t="s">
        <v>2494</v>
      </c>
      <c r="D575" s="9" t="s">
        <v>2495</v>
      </c>
      <c r="E575" s="10" t="str">
        <f>HYPERLINK("https://twitter.com/estaurotida/status/1065903875809529856","1065903875809529856")</f>
        <v>1065903875809529856</v>
      </c>
      <c r="F575" s="12"/>
      <c r="G575" s="11" t="s">
        <v>2496</v>
      </c>
      <c r="H575" s="12"/>
      <c r="I575" s="13">
        <v>1</v>
      </c>
      <c r="J575" s="13">
        <v>2</v>
      </c>
      <c r="K575" s="14" t="str">
        <f>HYPERLINK("http://twitter.com","Twitter Web Client")</f>
        <v>Twitter Web Client</v>
      </c>
      <c r="L575" s="13">
        <v>4878</v>
      </c>
      <c r="M575" s="13">
        <v>4734</v>
      </c>
      <c r="N575" s="13">
        <v>31</v>
      </c>
      <c r="O575" s="15"/>
      <c r="P575" s="6">
        <v>40834.498692129629</v>
      </c>
      <c r="Q575" s="17" t="s">
        <v>28</v>
      </c>
      <c r="R575" s="18" t="s">
        <v>2497</v>
      </c>
      <c r="S575" s="12"/>
      <c r="T575" s="12"/>
      <c r="U575" s="10" t="str">
        <f>HYPERLINK("https://pbs.twimg.com/profile_images/476689423430475777/iw5FUOxf.jpeg","View")</f>
        <v>View</v>
      </c>
    </row>
    <row r="576" spans="1:21" ht="30.6">
      <c r="A576" s="6">
        <v>43427.447118055556</v>
      </c>
      <c r="B576" s="7" t="str">
        <f>HYPERLINK("https://twitter.com/Cs_AlcazarSJuan","@Cs_AlcazarSJuan")</f>
        <v>@Cs_AlcazarSJuan</v>
      </c>
      <c r="C576" s="8" t="s">
        <v>2498</v>
      </c>
      <c r="D576" s="9" t="s">
        <v>2499</v>
      </c>
      <c r="E576" s="10" t="str">
        <f>HYPERLINK("https://twitter.com/Cs_AlcazarSJuan/status/1065903747564490752","1065903747564490752")</f>
        <v>1065903747564490752</v>
      </c>
      <c r="F576" s="11" t="s">
        <v>746</v>
      </c>
      <c r="G576" s="12"/>
      <c r="H576" s="12"/>
      <c r="I576" s="13">
        <v>0</v>
      </c>
      <c r="J576" s="13">
        <v>0</v>
      </c>
      <c r="K576" s="14" t="str">
        <f>HYPERLINK("http://twitter.com/download/android","Twitter for Android")</f>
        <v>Twitter for Android</v>
      </c>
      <c r="L576" s="13">
        <v>1007</v>
      </c>
      <c r="M576" s="13">
        <v>1853</v>
      </c>
      <c r="N576" s="13">
        <v>12</v>
      </c>
      <c r="O576" s="15"/>
      <c r="P576" s="6">
        <v>42257.916134259256</v>
      </c>
      <c r="Q576" s="17" t="s">
        <v>2500</v>
      </c>
      <c r="R576" s="18" t="s">
        <v>2501</v>
      </c>
      <c r="S576" s="11" t="s">
        <v>2502</v>
      </c>
      <c r="T576" s="12"/>
      <c r="U576" s="10" t="str">
        <f>HYPERLINK("https://pbs.twimg.com/profile_images/900322276285054976/UsMCZaXx.jpg","View")</f>
        <v>View</v>
      </c>
    </row>
    <row r="577" spans="1:21" ht="20.399999999999999">
      <c r="A577" s="6">
        <v>43427.446863425925</v>
      </c>
      <c r="B577" s="7" t="str">
        <f>HYPERLINK("https://twitter.com/FernanMedranoB","@FernanMedranoB")</f>
        <v>@FernanMedranoB</v>
      </c>
      <c r="C577" s="8" t="s">
        <v>2503</v>
      </c>
      <c r="D577" s="9" t="s">
        <v>2504</v>
      </c>
      <c r="E577" s="10" t="str">
        <f>HYPERLINK("https://twitter.com/FernanMedranoB/status/1065903654404874240","1065903654404874240")</f>
        <v>1065903654404874240</v>
      </c>
      <c r="F577" s="11" t="s">
        <v>2505</v>
      </c>
      <c r="G577" s="12"/>
      <c r="H577" s="12"/>
      <c r="I577" s="13">
        <v>0</v>
      </c>
      <c r="J577" s="13">
        <v>0</v>
      </c>
      <c r="K577" s="14" t="str">
        <f>HYPERLINK("http://twitter.com","Twitter Web Client")</f>
        <v>Twitter Web Client</v>
      </c>
      <c r="L577" s="13">
        <v>1572</v>
      </c>
      <c r="M577" s="13">
        <v>982</v>
      </c>
      <c r="N577" s="13">
        <v>8</v>
      </c>
      <c r="O577" s="15"/>
      <c r="P577" s="6">
        <v>42603.023611111115</v>
      </c>
      <c r="Q577" s="17" t="s">
        <v>2506</v>
      </c>
      <c r="R577" s="18" t="s">
        <v>2507</v>
      </c>
      <c r="S577" s="11" t="s">
        <v>2508</v>
      </c>
      <c r="T577" s="12"/>
      <c r="U577" s="10" t="str">
        <f>HYPERLINK("https://pbs.twimg.com/profile_images/1020370523514179585/r3lLL9cM.jpg","View")</f>
        <v>View</v>
      </c>
    </row>
    <row r="578" spans="1:21" ht="30.6">
      <c r="A578" s="6">
        <v>43427.446527777778</v>
      </c>
      <c r="B578" s="7" t="str">
        <f>HYPERLINK("https://twitter.com/EstrellaMonge1","@EstrellaMonge1")</f>
        <v>@EstrellaMonge1</v>
      </c>
      <c r="C578" s="8" t="s">
        <v>2509</v>
      </c>
      <c r="D578" s="9" t="s">
        <v>2510</v>
      </c>
      <c r="E578" s="10" t="str">
        <f>HYPERLINK("https://twitter.com/EstrellaMonge1/status/1065903533319471105","1065903533319471105")</f>
        <v>1065903533319471105</v>
      </c>
      <c r="F578" s="11" t="s">
        <v>2511</v>
      </c>
      <c r="G578" s="12"/>
      <c r="H578" s="12"/>
      <c r="I578" s="13">
        <v>0</v>
      </c>
      <c r="J578" s="13">
        <v>1</v>
      </c>
      <c r="K578" s="14" t="str">
        <f t="shared" ref="K578:K579" si="100">HYPERLINK("http://twitter.com/download/android","Twitter for Android")</f>
        <v>Twitter for Android</v>
      </c>
      <c r="L578" s="13">
        <v>1897</v>
      </c>
      <c r="M578" s="13">
        <v>4991</v>
      </c>
      <c r="N578" s="13">
        <v>111</v>
      </c>
      <c r="O578" s="15"/>
      <c r="P578" s="6">
        <v>40911.708993055552</v>
      </c>
      <c r="Q578" s="17" t="s">
        <v>28</v>
      </c>
      <c r="R578" s="18" t="s">
        <v>2512</v>
      </c>
      <c r="S578" s="12"/>
      <c r="T578" s="12"/>
      <c r="U578" s="10" t="str">
        <f>HYPERLINK("https://pbs.twimg.com/profile_images/1062093513159049216/mAkXXRvX.jpg","View")</f>
        <v>View</v>
      </c>
    </row>
    <row r="579" spans="1:21" ht="40.799999999999997">
      <c r="A579" s="6">
        <v>43427.44631944444</v>
      </c>
      <c r="B579" s="7" t="str">
        <f>HYPERLINK("https://twitter.com/cansinarubia","@cansinarubia")</f>
        <v>@cansinarubia</v>
      </c>
      <c r="C579" s="8" t="s">
        <v>2513</v>
      </c>
      <c r="D579" s="9" t="s">
        <v>2514</v>
      </c>
      <c r="E579" s="10" t="str">
        <f>HYPERLINK("https://twitter.com/cansinarubia/status/1065903457985589248","1065903457985589248")</f>
        <v>1065903457985589248</v>
      </c>
      <c r="F579" s="17" t="s">
        <v>2515</v>
      </c>
      <c r="G579" s="12"/>
      <c r="H579" s="12"/>
      <c r="I579" s="13">
        <v>5</v>
      </c>
      <c r="J579" s="13">
        <v>13</v>
      </c>
      <c r="K579" s="14" t="str">
        <f t="shared" si="100"/>
        <v>Twitter for Android</v>
      </c>
      <c r="L579" s="13">
        <v>2883</v>
      </c>
      <c r="M579" s="13">
        <v>1957</v>
      </c>
      <c r="N579" s="13">
        <v>9</v>
      </c>
      <c r="O579" s="15"/>
      <c r="P579" s="6">
        <v>43180.581828703704</v>
      </c>
      <c r="Q579" s="12"/>
      <c r="R579" s="18" t="s">
        <v>2516</v>
      </c>
      <c r="S579" s="12"/>
      <c r="T579" s="12"/>
      <c r="U579" s="10" t="str">
        <f>HYPERLINK("https://pbs.twimg.com/profile_images/1064983737102942210/mQtjeywK.jpg","View")</f>
        <v>View</v>
      </c>
    </row>
    <row r="580" spans="1:21" ht="51">
      <c r="A580" s="6">
        <v>43427.445277777777</v>
      </c>
      <c r="B580" s="7" t="str">
        <f>HYPERLINK("https://twitter.com/carlosdavidgf","@carlosdavidgf")</f>
        <v>@carlosdavidgf</v>
      </c>
      <c r="C580" s="8" t="s">
        <v>2517</v>
      </c>
      <c r="D580" s="9" t="s">
        <v>2518</v>
      </c>
      <c r="E580" s="10" t="str">
        <f>HYPERLINK("https://twitter.com/carlosdavidgf/status/1065903078589833217","1065903078589833217")</f>
        <v>1065903078589833217</v>
      </c>
      <c r="F580" s="12"/>
      <c r="G580" s="12"/>
      <c r="H580" s="12"/>
      <c r="I580" s="13">
        <v>200</v>
      </c>
      <c r="J580" s="13">
        <v>319</v>
      </c>
      <c r="K580" s="14" t="str">
        <f>HYPERLINK("http://twitter.com/download/iphone","Twitter for iPhone")</f>
        <v>Twitter for iPhone</v>
      </c>
      <c r="L580" s="13">
        <v>33956</v>
      </c>
      <c r="M580" s="13">
        <v>20864</v>
      </c>
      <c r="N580" s="13">
        <v>293</v>
      </c>
      <c r="O580" s="15"/>
      <c r="P580" s="6">
        <v>40706.811701388891</v>
      </c>
      <c r="Q580" s="17" t="s">
        <v>2519</v>
      </c>
      <c r="R580" s="18" t="s">
        <v>2520</v>
      </c>
      <c r="S580" s="11" t="s">
        <v>2521</v>
      </c>
      <c r="T580" s="12"/>
      <c r="U580" s="10" t="str">
        <f>HYPERLINK("https://pbs.twimg.com/profile_images/1053653730372005890/Cz9CDxRg.jpg","View")</f>
        <v>View</v>
      </c>
    </row>
    <row r="581" spans="1:21" ht="40.799999999999997">
      <c r="A581" s="6">
        <v>43427.444988425923</v>
      </c>
      <c r="B581" s="7" t="str">
        <f>HYPERLINK("https://twitter.com/TRAGATEL0","@TRAGATEL0")</f>
        <v>@TRAGATEL0</v>
      </c>
      <c r="C581" s="8" t="s">
        <v>2522</v>
      </c>
      <c r="D581" s="9" t="s">
        <v>2523</v>
      </c>
      <c r="E581" s="10" t="str">
        <f>HYPERLINK("https://twitter.com/TRAGATEL0/status/1065902974478757888","1065902974478757888")</f>
        <v>1065902974478757888</v>
      </c>
      <c r="F581" s="11" t="s">
        <v>2524</v>
      </c>
      <c r="G581" s="12"/>
      <c r="H581" s="12"/>
      <c r="I581" s="13">
        <v>0</v>
      </c>
      <c r="J581" s="13">
        <v>0</v>
      </c>
      <c r="K581" s="14" t="str">
        <f>HYPERLINK("https://www.google.com/","Google")</f>
        <v>Google</v>
      </c>
      <c r="L581" s="13">
        <v>2406</v>
      </c>
      <c r="M581" s="13">
        <v>2633</v>
      </c>
      <c r="N581" s="13">
        <v>51</v>
      </c>
      <c r="O581" s="15"/>
      <c r="P581" s="6">
        <v>42600.667349537034</v>
      </c>
      <c r="Q581" s="12"/>
      <c r="R581" s="18" t="s">
        <v>2525</v>
      </c>
      <c r="S581" s="11" t="s">
        <v>2526</v>
      </c>
      <c r="T581" s="12"/>
      <c r="U581" s="10" t="str">
        <f>HYPERLINK("https://pbs.twimg.com/profile_images/991752424602980352/Tbez7IZi.jpg","View")</f>
        <v>View</v>
      </c>
    </row>
    <row r="582" spans="1:21" ht="40.799999999999997">
      <c r="A582" s="6">
        <v>43427.444444444445</v>
      </c>
      <c r="B582" s="7" t="str">
        <f>HYPERLINK("https://twitter.com/lamarea_com","@lamarea_com")</f>
        <v>@lamarea_com</v>
      </c>
      <c r="C582" s="8" t="s">
        <v>2527</v>
      </c>
      <c r="D582" s="9" t="s">
        <v>2528</v>
      </c>
      <c r="E582" s="10" t="str">
        <f>HYPERLINK("https://twitter.com/lamarea_com/status/1065902777212125186","1065902777212125186")</f>
        <v>1065902777212125186</v>
      </c>
      <c r="F582" s="11" t="s">
        <v>2529</v>
      </c>
      <c r="G582" s="12"/>
      <c r="H582" s="12"/>
      <c r="I582" s="13">
        <v>6</v>
      </c>
      <c r="J582" s="13">
        <v>1</v>
      </c>
      <c r="K582" s="14" t="str">
        <f>HYPERLINK("https://about.twitter.com/products/tweetdeck","TweetDeck")</f>
        <v>TweetDeck</v>
      </c>
      <c r="L582" s="13">
        <v>191227</v>
      </c>
      <c r="M582" s="13">
        <v>1570</v>
      </c>
      <c r="N582" s="13">
        <v>3526</v>
      </c>
      <c r="O582" s="16" t="s">
        <v>26</v>
      </c>
      <c r="P582" s="6">
        <v>40983.642627314817</v>
      </c>
      <c r="Q582" s="17" t="s">
        <v>28</v>
      </c>
      <c r="R582" s="18" t="s">
        <v>2530</v>
      </c>
      <c r="S582" s="11" t="s">
        <v>2531</v>
      </c>
      <c r="T582" s="12"/>
      <c r="U582" s="10" t="str">
        <f>HYPERLINK("https://pbs.twimg.com/profile_images/606068585883160576/KbfVUJsO.jpg","View")</f>
        <v>View</v>
      </c>
    </row>
    <row r="583" spans="1:21" ht="30.6">
      <c r="A583" s="6">
        <v>43427.444120370375</v>
      </c>
      <c r="B583" s="7" t="str">
        <f>HYPERLINK("https://twitter.com/fercopyright","@fercopyright")</f>
        <v>@fercopyright</v>
      </c>
      <c r="C583" s="8" t="s">
        <v>399</v>
      </c>
      <c r="D583" s="9" t="s">
        <v>2532</v>
      </c>
      <c r="E583" s="10" t="str">
        <f>HYPERLINK("https://twitter.com/fercopyright/status/1065902659994116096","1065902659994116096")</f>
        <v>1065902659994116096</v>
      </c>
      <c r="F583" s="12"/>
      <c r="G583" s="12"/>
      <c r="H583" s="12"/>
      <c r="I583" s="13">
        <v>0</v>
      </c>
      <c r="J583" s="13">
        <v>1</v>
      </c>
      <c r="K583" s="14" t="str">
        <f t="shared" ref="K583:K584" si="101">HYPERLINK("http://twitter.com","Twitter Web Client")</f>
        <v>Twitter Web Client</v>
      </c>
      <c r="L583" s="13">
        <v>576</v>
      </c>
      <c r="M583" s="13">
        <v>1386</v>
      </c>
      <c r="N583" s="13">
        <v>13</v>
      </c>
      <c r="O583" s="15"/>
      <c r="P583" s="6">
        <v>40179.705995370372</v>
      </c>
      <c r="Q583" s="17" t="s">
        <v>141</v>
      </c>
      <c r="R583" s="18" t="s">
        <v>2533</v>
      </c>
      <c r="S583" s="12"/>
      <c r="T583" s="12"/>
      <c r="U583" s="10" t="str">
        <f>HYPERLINK("https://pbs.twimg.com/profile_images/1021059615390388224/tFt8RNQr.jpg","View")</f>
        <v>View</v>
      </c>
    </row>
    <row r="584" spans="1:21" ht="20.399999999999999">
      <c r="A584" s="6">
        <v>43427.443900462968</v>
      </c>
      <c r="B584" s="7" t="str">
        <f>HYPERLINK("https://twitter.com/fahelo62","@fahelo62")</f>
        <v>@fahelo62</v>
      </c>
      <c r="C584" s="8" t="s">
        <v>2534</v>
      </c>
      <c r="D584" s="9" t="s">
        <v>1775</v>
      </c>
      <c r="E584" s="10" t="str">
        <f>HYPERLINK("https://twitter.com/fahelo62/status/1065902579698278401","1065902579698278401")</f>
        <v>1065902579698278401</v>
      </c>
      <c r="F584" s="11" t="s">
        <v>1776</v>
      </c>
      <c r="G584" s="12"/>
      <c r="H584" s="12"/>
      <c r="I584" s="13">
        <v>7</v>
      </c>
      <c r="J584" s="13">
        <v>5</v>
      </c>
      <c r="K584" s="14" t="str">
        <f t="shared" si="101"/>
        <v>Twitter Web Client</v>
      </c>
      <c r="L584" s="13">
        <v>134</v>
      </c>
      <c r="M584" s="13">
        <v>796</v>
      </c>
      <c r="N584" s="13">
        <v>5</v>
      </c>
      <c r="O584" s="15"/>
      <c r="P584" s="6">
        <v>40224.742511574077</v>
      </c>
      <c r="Q584" s="17" t="s">
        <v>2535</v>
      </c>
      <c r="R584" s="19"/>
      <c r="S584" s="12"/>
      <c r="T584" s="12"/>
      <c r="U584" s="10" t="str">
        <f>HYPERLINK("https://pbs.twimg.com/profile_images/1048330012410228736/PjuBI0be.jpg","View")</f>
        <v>View</v>
      </c>
    </row>
    <row r="585" spans="1:21" ht="30.6">
      <c r="A585" s="6">
        <v>43427.443391203706</v>
      </c>
      <c r="B585" s="7" t="str">
        <f>HYPERLINK("https://twitter.com/rangeltarres","@rangeltarres")</f>
        <v>@rangeltarres</v>
      </c>
      <c r="C585" s="8" t="s">
        <v>2536</v>
      </c>
      <c r="D585" s="9" t="s">
        <v>2537</v>
      </c>
      <c r="E585" s="10" t="str">
        <f>HYPERLINK("https://twitter.com/rangeltarres/status/1065902396646309889","1065902396646309889")</f>
        <v>1065902396646309889</v>
      </c>
      <c r="F585" s="11" t="s">
        <v>1167</v>
      </c>
      <c r="G585" s="12"/>
      <c r="H585" s="12"/>
      <c r="I585" s="13">
        <v>0</v>
      </c>
      <c r="J585" s="13">
        <v>0</v>
      </c>
      <c r="K585" s="14" t="str">
        <f>HYPERLINK("http://www.facebook.com/twitter","Facebook")</f>
        <v>Facebook</v>
      </c>
      <c r="L585" s="13">
        <v>4965</v>
      </c>
      <c r="M585" s="13">
        <v>4439</v>
      </c>
      <c r="N585" s="13">
        <v>161</v>
      </c>
      <c r="O585" s="15"/>
      <c r="P585" s="6">
        <v>40503.919432870374</v>
      </c>
      <c r="Q585" s="17" t="s">
        <v>2538</v>
      </c>
      <c r="R585" s="18" t="s">
        <v>2539</v>
      </c>
      <c r="S585" s="12"/>
      <c r="T585" s="12"/>
      <c r="U585" s="10" t="str">
        <f>HYPERLINK("https://pbs.twimg.com/profile_images/795686748051349504/klBoeN1F.jpg","View")</f>
        <v>View</v>
      </c>
    </row>
    <row r="586" spans="1:21" ht="20.399999999999999">
      <c r="A586" s="6">
        <v>43427.442870370374</v>
      </c>
      <c r="B586" s="7" t="str">
        <f>HYPERLINK("https://twitter.com/FernanMedranoB","@FernanMedranoB")</f>
        <v>@FernanMedranoB</v>
      </c>
      <c r="C586" s="8" t="s">
        <v>2503</v>
      </c>
      <c r="D586" s="9" t="s">
        <v>2540</v>
      </c>
      <c r="E586" s="10" t="str">
        <f>HYPERLINK("https://twitter.com/FernanMedranoB/status/1065902209722920962","1065902209722920962")</f>
        <v>1065902209722920962</v>
      </c>
      <c r="F586" s="11" t="s">
        <v>797</v>
      </c>
      <c r="G586" s="12"/>
      <c r="H586" s="12"/>
      <c r="I586" s="13">
        <v>0</v>
      </c>
      <c r="J586" s="13">
        <v>0</v>
      </c>
      <c r="K586" s="14" t="str">
        <f t="shared" ref="K586:K587" si="102">HYPERLINK("http://twitter.com","Twitter Web Client")</f>
        <v>Twitter Web Client</v>
      </c>
      <c r="L586" s="13">
        <v>1572</v>
      </c>
      <c r="M586" s="13">
        <v>982</v>
      </c>
      <c r="N586" s="13">
        <v>8</v>
      </c>
      <c r="O586" s="15"/>
      <c r="P586" s="6">
        <v>42603.023611111115</v>
      </c>
      <c r="Q586" s="17" t="s">
        <v>2506</v>
      </c>
      <c r="R586" s="18" t="s">
        <v>2507</v>
      </c>
      <c r="S586" s="11" t="s">
        <v>2508</v>
      </c>
      <c r="T586" s="12"/>
      <c r="U586" s="10" t="str">
        <f>HYPERLINK("https://pbs.twimg.com/profile_images/1020370523514179585/r3lLL9cM.jpg","View")</f>
        <v>View</v>
      </c>
    </row>
    <row r="587" spans="1:21" ht="40.799999999999997">
      <c r="A587" s="6">
        <v>43427.442650462966</v>
      </c>
      <c r="B587" s="7" t="str">
        <f>HYPERLINK("https://twitter.com/Isidoro_sevilla","@Isidoro_sevilla")</f>
        <v>@Isidoro_sevilla</v>
      </c>
      <c r="C587" s="8" t="s">
        <v>2541</v>
      </c>
      <c r="D587" s="9" t="s">
        <v>2542</v>
      </c>
      <c r="E587" s="10" t="str">
        <f>HYPERLINK("https://twitter.com/Isidoro_sevilla/status/1065902127023820801","1065902127023820801")</f>
        <v>1065902127023820801</v>
      </c>
      <c r="F587" s="12"/>
      <c r="G587" s="11" t="s">
        <v>2543</v>
      </c>
      <c r="H587" s="12"/>
      <c r="I587" s="13">
        <v>10</v>
      </c>
      <c r="J587" s="13">
        <v>10</v>
      </c>
      <c r="K587" s="14" t="str">
        <f t="shared" si="102"/>
        <v>Twitter Web Client</v>
      </c>
      <c r="L587" s="13">
        <v>12459</v>
      </c>
      <c r="M587" s="13">
        <v>7851</v>
      </c>
      <c r="N587" s="13">
        <v>66</v>
      </c>
      <c r="O587" s="15"/>
      <c r="P587" s="6">
        <v>40368.460428240738</v>
      </c>
      <c r="Q587" s="17" t="s">
        <v>878</v>
      </c>
      <c r="R587" s="18" t="s">
        <v>2544</v>
      </c>
      <c r="S587" s="11" t="s">
        <v>2545</v>
      </c>
      <c r="T587" s="12"/>
      <c r="U587" s="10" t="str">
        <f>HYPERLINK("https://pbs.twimg.com/profile_images/951954767978352641/OowZ9CcX.jpg","View")</f>
        <v>View</v>
      </c>
    </row>
    <row r="588" spans="1:21" ht="61.2">
      <c r="A588" s="6">
        <v>43427.442569444444</v>
      </c>
      <c r="B588" s="7" t="str">
        <f>HYPERLINK("https://twitter.com/ElizDelucchi","@ElizDelucchi")</f>
        <v>@ElizDelucchi</v>
      </c>
      <c r="C588" s="8" t="s">
        <v>2546</v>
      </c>
      <c r="D588" s="9" t="s">
        <v>2547</v>
      </c>
      <c r="E588" s="10" t="str">
        <f>HYPERLINK("https://twitter.com/ElizDelucchi/status/1065902096971694081","1065902096971694081")</f>
        <v>1065902096971694081</v>
      </c>
      <c r="F588" s="11" t="s">
        <v>2548</v>
      </c>
      <c r="G588" s="11" t="s">
        <v>2549</v>
      </c>
      <c r="H588" s="12"/>
      <c r="I588" s="13">
        <v>0</v>
      </c>
      <c r="J588" s="13">
        <v>0</v>
      </c>
      <c r="K588" s="14" t="str">
        <f>HYPERLINK("https://mobile.twitter.com","Twitter Lite")</f>
        <v>Twitter Lite</v>
      </c>
      <c r="L588" s="13">
        <v>4078</v>
      </c>
      <c r="M588" s="13">
        <v>2851</v>
      </c>
      <c r="N588" s="13">
        <v>30</v>
      </c>
      <c r="O588" s="15"/>
      <c r="P588" s="6">
        <v>41154.612210648149</v>
      </c>
      <c r="Q588" s="17" t="s">
        <v>2550</v>
      </c>
      <c r="R588" s="18" t="s">
        <v>2551</v>
      </c>
      <c r="S588" s="12"/>
      <c r="T588" s="12"/>
      <c r="U588" s="10" t="str">
        <f>HYPERLINK("https://pbs.twimg.com/profile_images/1062503300770267136/ANChOe1h.jpg","View")</f>
        <v>View</v>
      </c>
    </row>
    <row r="589" spans="1:21" ht="40.799999999999997">
      <c r="A589" s="6">
        <v>43427.441018518519</v>
      </c>
      <c r="B589" s="7" t="str">
        <f>HYPERLINK("https://twitter.com/torrescarlossl","@torrescarlossl")</f>
        <v>@torrescarlossl</v>
      </c>
      <c r="C589" s="8" t="s">
        <v>2552</v>
      </c>
      <c r="D589" s="9" t="s">
        <v>2553</v>
      </c>
      <c r="E589" s="10" t="str">
        <f>HYPERLINK("https://twitter.com/torrescarlossl/status/1065901538198069248","1065901538198069248")</f>
        <v>1065901538198069248</v>
      </c>
      <c r="F589" s="11" t="s">
        <v>2554</v>
      </c>
      <c r="G589" s="12"/>
      <c r="H589" s="12"/>
      <c r="I589" s="13">
        <v>0</v>
      </c>
      <c r="J589" s="13">
        <v>0</v>
      </c>
      <c r="K589" s="14" t="str">
        <f>HYPERLINK("http://twitter.com","Twitter Web Client")</f>
        <v>Twitter Web Client</v>
      </c>
      <c r="L589" s="13">
        <v>103</v>
      </c>
      <c r="M589" s="13">
        <v>845</v>
      </c>
      <c r="N589" s="13">
        <v>0</v>
      </c>
      <c r="O589" s="15"/>
      <c r="P589" s="6">
        <v>41472.873263888891</v>
      </c>
      <c r="Q589" s="17" t="s">
        <v>2555</v>
      </c>
      <c r="R589" s="18" t="s">
        <v>2556</v>
      </c>
      <c r="S589" s="11" t="s">
        <v>2557</v>
      </c>
      <c r="T589" s="12"/>
      <c r="U589" s="10" t="str">
        <f>HYPERLINK("https://pbs.twimg.com/profile_images/843577334569549824/c9kvXrqr.jpg","View")</f>
        <v>View</v>
      </c>
    </row>
    <row r="590" spans="1:21" ht="51">
      <c r="A590" s="6">
        <v>43427.440312499995</v>
      </c>
      <c r="B590" s="7" t="str">
        <f>HYPERLINK("https://twitter.com/helsinkicotilla","@helsinkicotilla")</f>
        <v>@helsinkicotilla</v>
      </c>
      <c r="C590" s="8" t="s">
        <v>2558</v>
      </c>
      <c r="D590" s="9" t="s">
        <v>2559</v>
      </c>
      <c r="E590" s="10" t="str">
        <f>HYPERLINK("https://twitter.com/helsinkicotilla/status/1065901282198781952","1065901282198781952")</f>
        <v>1065901282198781952</v>
      </c>
      <c r="F590" s="11" t="s">
        <v>320</v>
      </c>
      <c r="G590" s="12"/>
      <c r="H590" s="12"/>
      <c r="I590" s="13">
        <v>0</v>
      </c>
      <c r="J590" s="13">
        <v>0</v>
      </c>
      <c r="K590" s="14" t="str">
        <f>HYPERLINK("http://twitter.com/#!/download/ipad","Twitter for iPad")</f>
        <v>Twitter for iPad</v>
      </c>
      <c r="L590" s="13">
        <v>232</v>
      </c>
      <c r="M590" s="13">
        <v>313</v>
      </c>
      <c r="N590" s="13">
        <v>2</v>
      </c>
      <c r="O590" s="15"/>
      <c r="P590" s="6">
        <v>40869.163310185184</v>
      </c>
      <c r="Q590" s="17" t="s">
        <v>2560</v>
      </c>
      <c r="R590" s="19"/>
      <c r="S590" s="12"/>
      <c r="T590" s="12"/>
      <c r="U590" s="10" t="str">
        <f>HYPERLINK("https://pbs.twimg.com/profile_images/1049770989691838464/G1BRwRBf.jpg","View")</f>
        <v>View</v>
      </c>
    </row>
    <row r="591" spans="1:21" ht="30.6">
      <c r="A591" s="6">
        <v>43427.439259259263</v>
      </c>
      <c r="B591" s="7" t="str">
        <f>HYPERLINK("https://twitter.com/cozden","@cozden")</f>
        <v>@cozden</v>
      </c>
      <c r="C591" s="8" t="s">
        <v>2561</v>
      </c>
      <c r="D591" s="9" t="s">
        <v>2562</v>
      </c>
      <c r="E591" s="10" t="str">
        <f>HYPERLINK("https://twitter.com/cozden/status/1065900901058183168","1065900901058183168")</f>
        <v>1065900901058183168</v>
      </c>
      <c r="F591" s="11" t="s">
        <v>2563</v>
      </c>
      <c r="G591" s="12"/>
      <c r="H591" s="12"/>
      <c r="I591" s="13">
        <v>0</v>
      </c>
      <c r="J591" s="13">
        <v>0</v>
      </c>
      <c r="K591" s="14" t="str">
        <f>HYPERLINK("http://twitter.com","Twitter Web Client")</f>
        <v>Twitter Web Client</v>
      </c>
      <c r="L591" s="13">
        <v>3243</v>
      </c>
      <c r="M591" s="13">
        <v>4451</v>
      </c>
      <c r="N591" s="13">
        <v>139</v>
      </c>
      <c r="O591" s="15"/>
      <c r="P591" s="6">
        <v>40334.734826388885</v>
      </c>
      <c r="Q591" s="17" t="s">
        <v>2564</v>
      </c>
      <c r="R591" s="18" t="s">
        <v>2565</v>
      </c>
      <c r="S591" s="11" t="s">
        <v>2566</v>
      </c>
      <c r="T591" s="12"/>
      <c r="U591" s="10" t="str">
        <f>HYPERLINK("https://pbs.twimg.com/profile_images/914924562386735105/ZrsfFh_j.jpg","View")</f>
        <v>View</v>
      </c>
    </row>
    <row r="592" spans="1:21" ht="81.599999999999994">
      <c r="A592" s="6">
        <v>43427.439247685186</v>
      </c>
      <c r="B592" s="7" t="str">
        <f>HYPERLINK("https://twitter.com/ElizDelucchi","@ElizDelucchi")</f>
        <v>@ElizDelucchi</v>
      </c>
      <c r="C592" s="8" t="s">
        <v>2546</v>
      </c>
      <c r="D592" s="9" t="s">
        <v>2567</v>
      </c>
      <c r="E592" s="10" t="str">
        <f>HYPERLINK("https://twitter.com/ElizDelucchi/status/1065900895018381312","1065900895018381312")</f>
        <v>1065900895018381312</v>
      </c>
      <c r="F592" s="11" t="s">
        <v>2429</v>
      </c>
      <c r="G592" s="12"/>
      <c r="H592" s="12"/>
      <c r="I592" s="13">
        <v>0</v>
      </c>
      <c r="J592" s="13">
        <v>0</v>
      </c>
      <c r="K592" s="14" t="str">
        <f>HYPERLINK("https://mobile.twitter.com","Twitter Lite")</f>
        <v>Twitter Lite</v>
      </c>
      <c r="L592" s="13">
        <v>4078</v>
      </c>
      <c r="M592" s="13">
        <v>2851</v>
      </c>
      <c r="N592" s="13">
        <v>30</v>
      </c>
      <c r="O592" s="15"/>
      <c r="P592" s="6">
        <v>41154.612210648149</v>
      </c>
      <c r="Q592" s="17" t="s">
        <v>2550</v>
      </c>
      <c r="R592" s="18" t="s">
        <v>2551</v>
      </c>
      <c r="S592" s="12"/>
      <c r="T592" s="12"/>
      <c r="U592" s="10" t="str">
        <f>HYPERLINK("https://pbs.twimg.com/profile_images/1062503300770267136/ANChOe1h.jpg","View")</f>
        <v>View</v>
      </c>
    </row>
    <row r="593" spans="1:21" ht="20.399999999999999">
      <c r="A593" s="6">
        <v>43427.439166666663</v>
      </c>
      <c r="B593" s="7" t="str">
        <f>HYPERLINK("https://twitter.com/FernanMedranoB","@FernanMedranoB")</f>
        <v>@FernanMedranoB</v>
      </c>
      <c r="C593" s="8" t="s">
        <v>2503</v>
      </c>
      <c r="D593" s="9" t="s">
        <v>2571</v>
      </c>
      <c r="E593" s="10" t="str">
        <f>HYPERLINK("https://twitter.com/FernanMedranoB/status/1065900865628921858","1065900865628921858")</f>
        <v>1065900865628921858</v>
      </c>
      <c r="F593" s="11" t="s">
        <v>2572</v>
      </c>
      <c r="G593" s="12"/>
      <c r="H593" s="12"/>
      <c r="I593" s="13">
        <v>0</v>
      </c>
      <c r="J593" s="13">
        <v>0</v>
      </c>
      <c r="K593" s="14" t="str">
        <f>HYPERLINK("http://twitter.com","Twitter Web Client")</f>
        <v>Twitter Web Client</v>
      </c>
      <c r="L593" s="13">
        <v>1572</v>
      </c>
      <c r="M593" s="13">
        <v>982</v>
      </c>
      <c r="N593" s="13">
        <v>8</v>
      </c>
      <c r="O593" s="15"/>
      <c r="P593" s="6">
        <v>42603.023611111115</v>
      </c>
      <c r="Q593" s="17" t="s">
        <v>2506</v>
      </c>
      <c r="R593" s="18" t="s">
        <v>2507</v>
      </c>
      <c r="S593" s="11" t="s">
        <v>2508</v>
      </c>
      <c r="T593" s="12"/>
      <c r="U593" s="10" t="str">
        <f>HYPERLINK("https://pbs.twimg.com/profile_images/1020370523514179585/r3lLL9cM.jpg","View")</f>
        <v>View</v>
      </c>
    </row>
    <row r="594" spans="1:21" ht="40.799999999999997">
      <c r="A594" s="6">
        <v>43427.439085648148</v>
      </c>
      <c r="B594" s="7" t="str">
        <f>HYPERLINK("https://twitter.com/prettyclod","@prettyclod")</f>
        <v>@prettyclod</v>
      </c>
      <c r="C594" s="8" t="s">
        <v>450</v>
      </c>
      <c r="D594" s="9" t="s">
        <v>2573</v>
      </c>
      <c r="E594" s="10" t="str">
        <f>HYPERLINK("https://twitter.com/prettyclod/status/1065900835048177664","1065900835048177664")</f>
        <v>1065900835048177664</v>
      </c>
      <c r="F594" s="12"/>
      <c r="G594" s="11" t="s">
        <v>2574</v>
      </c>
      <c r="H594" s="12"/>
      <c r="I594" s="13">
        <v>1</v>
      </c>
      <c r="J594" s="13">
        <v>1</v>
      </c>
      <c r="K594" s="14" t="str">
        <f>HYPERLINK("http://twitter.com/download/android","Twitter for Android")</f>
        <v>Twitter for Android</v>
      </c>
      <c r="L594" s="13">
        <v>9</v>
      </c>
      <c r="M594" s="13">
        <v>66</v>
      </c>
      <c r="N594" s="13">
        <v>0</v>
      </c>
      <c r="O594" s="15"/>
      <c r="P594" s="6">
        <v>43421.455208333333</v>
      </c>
      <c r="Q594" s="17" t="s">
        <v>28</v>
      </c>
      <c r="R594" s="18" t="s">
        <v>454</v>
      </c>
      <c r="S594" s="12"/>
      <c r="T594" s="12"/>
      <c r="U594" s="16" t="s">
        <v>373</v>
      </c>
    </row>
    <row r="595" spans="1:21" ht="40.799999999999997">
      <c r="A595" s="6">
        <v>43427.43818287037</v>
      </c>
      <c r="B595" s="7" t="str">
        <f>HYPERLINK("https://twitter.com/CarlosG_Miranda","@CarlosG_Miranda")</f>
        <v>@CarlosG_Miranda</v>
      </c>
      <c r="C595" s="8" t="s">
        <v>2575</v>
      </c>
      <c r="D595" s="9" t="s">
        <v>2576</v>
      </c>
      <c r="E595" s="10" t="str">
        <f>HYPERLINK("https://twitter.com/CarlosG_Miranda/status/1065900509972897793","1065900509972897793")</f>
        <v>1065900509972897793</v>
      </c>
      <c r="F595" s="17" t="s">
        <v>2577</v>
      </c>
      <c r="G595" s="11" t="s">
        <v>2578</v>
      </c>
      <c r="H595" s="12"/>
      <c r="I595" s="13">
        <v>0</v>
      </c>
      <c r="J595" s="13">
        <v>4</v>
      </c>
      <c r="K595" s="14" t="str">
        <f>HYPERLINK("http://twitter.com/download/iphone","Twitter for iPhone")</f>
        <v>Twitter for iPhone</v>
      </c>
      <c r="L595" s="13">
        <v>5966</v>
      </c>
      <c r="M595" s="13">
        <v>1040</v>
      </c>
      <c r="N595" s="13">
        <v>172</v>
      </c>
      <c r="O595" s="15"/>
      <c r="P595" s="6">
        <v>41227.990393518521</v>
      </c>
      <c r="Q595" s="17" t="s">
        <v>72</v>
      </c>
      <c r="R595" s="18" t="s">
        <v>2579</v>
      </c>
      <c r="S595" s="11" t="s">
        <v>2580</v>
      </c>
      <c r="T595" s="12"/>
      <c r="U595" s="10" t="str">
        <f>HYPERLINK("https://pbs.twimg.com/profile_images/1042499628703342595/ywPySgkE.jpg","View")</f>
        <v>View</v>
      </c>
    </row>
    <row r="596" spans="1:21" ht="20.399999999999999">
      <c r="A596" s="6">
        <v>43427.4371412037</v>
      </c>
      <c r="B596" s="7" t="str">
        <f>HYPERLINK("https://twitter.com/FernanMedranoB","@FernanMedranoB")</f>
        <v>@FernanMedranoB</v>
      </c>
      <c r="C596" s="8" t="s">
        <v>2503</v>
      </c>
      <c r="D596" s="9" t="s">
        <v>2103</v>
      </c>
      <c r="E596" s="10" t="str">
        <f>HYPERLINK("https://twitter.com/FernanMedranoB/status/1065900132732993536","1065900132732993536")</f>
        <v>1065900132732993536</v>
      </c>
      <c r="F596" s="11" t="s">
        <v>2105</v>
      </c>
      <c r="G596" s="12"/>
      <c r="H596" s="12"/>
      <c r="I596" s="13">
        <v>0</v>
      </c>
      <c r="J596" s="13">
        <v>0</v>
      </c>
      <c r="K596" s="14" t="str">
        <f>HYPERLINK("http://twitter.com","Twitter Web Client")</f>
        <v>Twitter Web Client</v>
      </c>
      <c r="L596" s="13">
        <v>1572</v>
      </c>
      <c r="M596" s="13">
        <v>982</v>
      </c>
      <c r="N596" s="13">
        <v>8</v>
      </c>
      <c r="O596" s="15"/>
      <c r="P596" s="6">
        <v>42603.023611111115</v>
      </c>
      <c r="Q596" s="17" t="s">
        <v>2506</v>
      </c>
      <c r="R596" s="18" t="s">
        <v>2507</v>
      </c>
      <c r="S596" s="11" t="s">
        <v>2508</v>
      </c>
      <c r="T596" s="12"/>
      <c r="U596" s="10" t="str">
        <f>HYPERLINK("https://pbs.twimg.com/profile_images/1020370523514179585/r3lLL9cM.jpg","View")</f>
        <v>View</v>
      </c>
    </row>
    <row r="597" spans="1:21" ht="20.399999999999999">
      <c r="A597" s="6">
        <v>43427.436805555553</v>
      </c>
      <c r="B597" s="7" t="str">
        <f>HYPERLINK("https://twitter.com/OMNIANOTICIAS","@OMNIANOTICIAS")</f>
        <v>@OMNIANOTICIAS</v>
      </c>
      <c r="C597" s="8" t="s">
        <v>2584</v>
      </c>
      <c r="D597" s="9" t="s">
        <v>2585</v>
      </c>
      <c r="E597" s="10" t="str">
        <f>HYPERLINK("https://twitter.com/OMNIANOTICIAS/status/1065900009152045058","1065900009152045058")</f>
        <v>1065900009152045058</v>
      </c>
      <c r="F597" s="11" t="s">
        <v>2586</v>
      </c>
      <c r="G597" s="11" t="s">
        <v>2587</v>
      </c>
      <c r="H597" s="12"/>
      <c r="I597" s="13">
        <v>0</v>
      </c>
      <c r="J597" s="13">
        <v>0</v>
      </c>
      <c r="K597" s="14" t="str">
        <f>HYPERLINK("https://about.twitter.com/products/tweetdeck","TweetDeck")</f>
        <v>TweetDeck</v>
      </c>
      <c r="L597" s="13">
        <v>9501</v>
      </c>
      <c r="M597" s="13">
        <v>1266</v>
      </c>
      <c r="N597" s="13">
        <v>218</v>
      </c>
      <c r="O597" s="15"/>
      <c r="P597" s="6">
        <v>40055.119560185187</v>
      </c>
      <c r="Q597" s="17" t="s">
        <v>2588</v>
      </c>
      <c r="R597" s="18" t="s">
        <v>2589</v>
      </c>
      <c r="S597" s="11" t="s">
        <v>2590</v>
      </c>
      <c r="T597" s="12"/>
      <c r="U597" s="10" t="str">
        <f>HYPERLINK("https://pbs.twimg.com/profile_images/818531468834021378/vLOjgB9D.jpg","View")</f>
        <v>View</v>
      </c>
    </row>
    <row r="598" spans="1:21" ht="40.799999999999997">
      <c r="A598" s="6">
        <v>43427.436481481476</v>
      </c>
      <c r="B598" s="7" t="str">
        <f>HYPERLINK("https://twitter.com/Asturgalicia","@Asturgalicia")</f>
        <v>@Asturgalicia</v>
      </c>
      <c r="C598" s="8" t="s">
        <v>2591</v>
      </c>
      <c r="D598" s="9" t="s">
        <v>1115</v>
      </c>
      <c r="E598" s="10" t="str">
        <f>HYPERLINK("https://twitter.com/Asturgalicia/status/1065899890851618816","1065899890851618816")</f>
        <v>1065899890851618816</v>
      </c>
      <c r="F598" s="11" t="s">
        <v>1116</v>
      </c>
      <c r="G598" s="12"/>
      <c r="H598" s="12"/>
      <c r="I598" s="13">
        <v>0</v>
      </c>
      <c r="J598" s="13">
        <v>0</v>
      </c>
      <c r="K598" s="14" t="str">
        <f>HYPERLINK("http://twitter.com","Twitter Web Client")</f>
        <v>Twitter Web Client</v>
      </c>
      <c r="L598" s="13">
        <v>2747</v>
      </c>
      <c r="M598" s="13">
        <v>4662</v>
      </c>
      <c r="N598" s="13">
        <v>89</v>
      </c>
      <c r="O598" s="15"/>
      <c r="P598" s="6">
        <v>40440.741099537037</v>
      </c>
      <c r="Q598" s="17" t="s">
        <v>2592</v>
      </c>
      <c r="R598" s="18" t="s">
        <v>2593</v>
      </c>
      <c r="S598" s="11" t="s">
        <v>2594</v>
      </c>
      <c r="T598" s="12"/>
      <c r="U598" s="10" t="str">
        <f>HYPERLINK("https://pbs.twimg.com/profile_images/953015380192256000/9NLeu28m.jpg","View")</f>
        <v>View</v>
      </c>
    </row>
    <row r="599" spans="1:21" ht="20.399999999999999">
      <c r="A599" s="6">
        <v>43427.434027777781</v>
      </c>
      <c r="B599" s="7" t="str">
        <f>HYPERLINK("https://twitter.com/abc_madrid","@abc_madrid")</f>
        <v>@abc_madrid</v>
      </c>
      <c r="C599" s="8" t="s">
        <v>2595</v>
      </c>
      <c r="D599" s="9" t="s">
        <v>2596</v>
      </c>
      <c r="E599" s="10" t="str">
        <f>HYPERLINK("https://twitter.com/abc_madrid/status/1065899003911524352","1065899003911524352")</f>
        <v>1065899003911524352</v>
      </c>
      <c r="F599" s="11" t="s">
        <v>2597</v>
      </c>
      <c r="G599" s="12"/>
      <c r="H599" s="12"/>
      <c r="I599" s="13">
        <v>0</v>
      </c>
      <c r="J599" s="13">
        <v>0</v>
      </c>
      <c r="K599" s="14" t="str">
        <f>HYPERLINK("http://dogtrack.es","DogTrack_Oficial")</f>
        <v>DogTrack_Oficial</v>
      </c>
      <c r="L599" s="13">
        <v>10678</v>
      </c>
      <c r="M599" s="13">
        <v>329</v>
      </c>
      <c r="N599" s="13">
        <v>339</v>
      </c>
      <c r="O599" s="16" t="s">
        <v>26</v>
      </c>
      <c r="P599" s="6">
        <v>41009.778969907406</v>
      </c>
      <c r="Q599" s="12"/>
      <c r="R599" s="18" t="s">
        <v>2598</v>
      </c>
      <c r="S599" s="11" t="s">
        <v>2599</v>
      </c>
      <c r="T599" s="12"/>
      <c r="U599" s="10" t="str">
        <f>HYPERLINK("https://pbs.twimg.com/profile_images/659711999123828736/5lvxVbVG.png","View")</f>
        <v>View</v>
      </c>
    </row>
    <row r="600" spans="1:21" ht="61.2">
      <c r="A600" s="6">
        <v>43427.434016203704</v>
      </c>
      <c r="B600" s="7" t="str">
        <f>HYPERLINK("https://twitter.com/octoref","@octoref")</f>
        <v>@octoref</v>
      </c>
      <c r="C600" s="8" t="s">
        <v>2600</v>
      </c>
      <c r="D600" s="9" t="s">
        <v>2601</v>
      </c>
      <c r="E600" s="10" t="str">
        <f>HYPERLINK("https://twitter.com/octoref/status/1065898999964672001","1065898999964672001")</f>
        <v>1065898999964672001</v>
      </c>
      <c r="F600" s="17" t="s">
        <v>2602</v>
      </c>
      <c r="G600" s="11" t="s">
        <v>2603</v>
      </c>
      <c r="H600" s="12"/>
      <c r="I600" s="13">
        <v>0</v>
      </c>
      <c r="J600" s="13">
        <v>0</v>
      </c>
      <c r="K600" s="14" t="str">
        <f>HYPERLINK("http://twitter.com/download/android","Twitter for Android")</f>
        <v>Twitter for Android</v>
      </c>
      <c r="L600" s="13">
        <v>3845</v>
      </c>
      <c r="M600" s="13">
        <v>277</v>
      </c>
      <c r="N600" s="13">
        <v>80</v>
      </c>
      <c r="O600" s="15"/>
      <c r="P600" s="6">
        <v>43206.787569444445</v>
      </c>
      <c r="Q600" s="17" t="s">
        <v>2604</v>
      </c>
      <c r="R600" s="18" t="s">
        <v>2605</v>
      </c>
      <c r="S600" s="12"/>
      <c r="T600" s="12"/>
      <c r="U600" s="10" t="str">
        <f>HYPERLINK("https://pbs.twimg.com/profile_images/1052237719198466048/jPMTmT8t.jpg","View")</f>
        <v>View</v>
      </c>
    </row>
    <row r="601" spans="1:21" ht="51">
      <c r="A601" s="6">
        <v>43427.434004629627</v>
      </c>
      <c r="B601" s="7" t="str">
        <f>HYPERLINK("https://twitter.com/EnryBone","@EnryBone")</f>
        <v>@EnryBone</v>
      </c>
      <c r="C601" s="8" t="s">
        <v>2606</v>
      </c>
      <c r="D601" s="9" t="s">
        <v>2607</v>
      </c>
      <c r="E601" s="10" t="str">
        <f>HYPERLINK("https://twitter.com/EnryBone/status/1065898996235988993","1065898996235988993")</f>
        <v>1065898996235988993</v>
      </c>
      <c r="F601" s="12"/>
      <c r="G601" s="12"/>
      <c r="H601" s="12"/>
      <c r="I601" s="13">
        <v>0</v>
      </c>
      <c r="J601" s="13">
        <v>0</v>
      </c>
      <c r="K601" s="14" t="str">
        <f>HYPERLINK("http://twitter.com","Twitter Web Client")</f>
        <v>Twitter Web Client</v>
      </c>
      <c r="L601" s="13">
        <v>4</v>
      </c>
      <c r="M601" s="13">
        <v>54</v>
      </c>
      <c r="N601" s="13">
        <v>0</v>
      </c>
      <c r="O601" s="15"/>
      <c r="P601" s="6">
        <v>41741.962361111109</v>
      </c>
      <c r="Q601" s="17" t="s">
        <v>497</v>
      </c>
      <c r="R601" s="18" t="s">
        <v>2608</v>
      </c>
      <c r="S601" s="12"/>
      <c r="T601" s="12"/>
      <c r="U601" s="10" t="str">
        <f>HYPERLINK("https://pbs.twimg.com/profile_images/1005791269572968448/VYPYwKnU.jpg","View")</f>
        <v>View</v>
      </c>
    </row>
    <row r="602" spans="1:21" ht="13.2">
      <c r="A602" s="6">
        <v>43427.433368055557</v>
      </c>
      <c r="B602" s="7" t="str">
        <f>HYPERLINK("https://twitter.com/dxtcampeon","@dxtcampeon")</f>
        <v>@dxtcampeon</v>
      </c>
      <c r="C602" s="8" t="s">
        <v>2609</v>
      </c>
      <c r="D602" s="9" t="s">
        <v>2610</v>
      </c>
      <c r="E602" s="10" t="str">
        <f>HYPERLINK("https://twitter.com/dxtcampeon/status/1065898765591015424","1065898765591015424")</f>
        <v>1065898765591015424</v>
      </c>
      <c r="F602" s="11" t="s">
        <v>2611</v>
      </c>
      <c r="G602" s="11" t="s">
        <v>2612</v>
      </c>
      <c r="H602" s="12"/>
      <c r="I602" s="13">
        <v>0</v>
      </c>
      <c r="J602" s="13">
        <v>1</v>
      </c>
      <c r="K602" s="14" t="str">
        <f>HYPERLINK("https://dlvrit.com/","dlvr.it")</f>
        <v>dlvr.it</v>
      </c>
      <c r="L602" s="13">
        <v>20335</v>
      </c>
      <c r="M602" s="13">
        <v>192</v>
      </c>
      <c r="N602" s="13">
        <v>283</v>
      </c>
      <c r="O602" s="15"/>
      <c r="P602" s="6">
        <v>40700.781539351854</v>
      </c>
      <c r="Q602" s="17" t="s">
        <v>2613</v>
      </c>
      <c r="R602" s="18" t="s">
        <v>2614</v>
      </c>
      <c r="S602" s="11" t="s">
        <v>2615</v>
      </c>
      <c r="T602" s="12"/>
      <c r="U602" s="10" t="str">
        <f>HYPERLINK("https://pbs.twimg.com/profile_images/880783140217815040/UBTLqY4h.jpg","View")</f>
        <v>View</v>
      </c>
    </row>
    <row r="603" spans="1:21" ht="30.6">
      <c r="A603" s="6">
        <v>43427.432951388888</v>
      </c>
      <c r="B603" s="7" t="str">
        <f>HYPERLINK("https://twitter.com/EFEnoticias_ES","@EFEnoticias_ES")</f>
        <v>@EFEnoticias_ES</v>
      </c>
      <c r="C603" s="8" t="s">
        <v>2616</v>
      </c>
      <c r="D603" s="9" t="s">
        <v>2617</v>
      </c>
      <c r="E603" s="10" t="str">
        <f>HYPERLINK("https://twitter.com/EFEnoticias_ES/status/1065898614499803136","1065898614499803136")</f>
        <v>1065898614499803136</v>
      </c>
      <c r="F603" s="12"/>
      <c r="G603" s="12"/>
      <c r="H603" s="12"/>
      <c r="I603" s="13">
        <v>0</v>
      </c>
      <c r="J603" s="13">
        <v>1</v>
      </c>
      <c r="K603" s="14" t="str">
        <f>HYPERLINK("http://twitter.com","Twitter Web Client")</f>
        <v>Twitter Web Client</v>
      </c>
      <c r="L603" s="13">
        <v>7138</v>
      </c>
      <c r="M603" s="13">
        <v>37</v>
      </c>
      <c r="N603" s="13">
        <v>95</v>
      </c>
      <c r="O603" s="15"/>
      <c r="P603" s="6">
        <v>41710.567465277782</v>
      </c>
      <c r="Q603" s="17" t="s">
        <v>28</v>
      </c>
      <c r="R603" s="18" t="s">
        <v>2618</v>
      </c>
      <c r="S603" s="11" t="s">
        <v>2619</v>
      </c>
      <c r="T603" s="12"/>
      <c r="U603" s="10" t="str">
        <f>HYPERLINK("https://pbs.twimg.com/profile_images/930868948211552256/D5EpVtBi.jpg","View")</f>
        <v>View</v>
      </c>
    </row>
    <row r="604" spans="1:21" ht="20.399999999999999">
      <c r="A604" s="6">
        <v>43427.432546296295</v>
      </c>
      <c r="B604" s="7" t="str">
        <f>HYPERLINK("https://twitter.com/xrevolutione","@xrevolutione")</f>
        <v>@xrevolutione</v>
      </c>
      <c r="C604" s="8" t="s">
        <v>2620</v>
      </c>
      <c r="D604" s="9" t="s">
        <v>2621</v>
      </c>
      <c r="E604" s="10" t="str">
        <f>HYPERLINK("https://twitter.com/xrevolutione/status/1065898465690030080","1065898465690030080")</f>
        <v>1065898465690030080</v>
      </c>
      <c r="F604" s="11" t="s">
        <v>641</v>
      </c>
      <c r="G604" s="12"/>
      <c r="H604" s="12"/>
      <c r="I604" s="13">
        <v>0</v>
      </c>
      <c r="J604" s="13">
        <v>0</v>
      </c>
      <c r="K604" s="14" t="str">
        <f>HYPERLINK("http://www.facebook.com/twitter","Facebook")</f>
        <v>Facebook</v>
      </c>
      <c r="L604" s="13">
        <v>30</v>
      </c>
      <c r="M604" s="13">
        <v>962</v>
      </c>
      <c r="N604" s="13">
        <v>0</v>
      </c>
      <c r="O604" s="15"/>
      <c r="P604" s="6">
        <v>40916.954525462963</v>
      </c>
      <c r="Q604" s="12"/>
      <c r="R604" s="18" t="s">
        <v>2622</v>
      </c>
      <c r="S604" s="11" t="s">
        <v>2623</v>
      </c>
      <c r="T604" s="12"/>
      <c r="U604" s="10" t="str">
        <f>HYPERLINK("https://pbs.twimg.com/profile_images/3221088763/183e3bcaea6d275faec94d9d1239f93d.jpeg","View")</f>
        <v>View</v>
      </c>
    </row>
    <row r="605" spans="1:21" ht="30.6">
      <c r="A605" s="6">
        <v>43427.432476851856</v>
      </c>
      <c r="B605" s="7" t="str">
        <f>HYPERLINK("https://twitter.com/situacionesdifi","@situacionesdifi")</f>
        <v>@situacionesdifi</v>
      </c>
      <c r="C605" s="8" t="s">
        <v>2624</v>
      </c>
      <c r="D605" s="9" t="s">
        <v>2625</v>
      </c>
      <c r="E605" s="10" t="str">
        <f>HYPERLINK("https://twitter.com/situacionesdifi/status/1065898443204435969","1065898443204435969")</f>
        <v>1065898443204435969</v>
      </c>
      <c r="F605" s="11" t="s">
        <v>2626</v>
      </c>
      <c r="G605" s="12"/>
      <c r="H605" s="12"/>
      <c r="I605" s="13">
        <v>0</v>
      </c>
      <c r="J605" s="13">
        <v>0</v>
      </c>
      <c r="K605" s="14" t="str">
        <f t="shared" ref="K605:K606" si="103">HYPERLINK("http://twitter.com","Twitter Web Client")</f>
        <v>Twitter Web Client</v>
      </c>
      <c r="L605" s="13">
        <v>253</v>
      </c>
      <c r="M605" s="13">
        <v>400</v>
      </c>
      <c r="N605" s="13">
        <v>2</v>
      </c>
      <c r="O605" s="15"/>
      <c r="P605" s="6">
        <v>43083.860150462962</v>
      </c>
      <c r="Q605" s="17" t="s">
        <v>2627</v>
      </c>
      <c r="R605" s="18" t="s">
        <v>2628</v>
      </c>
      <c r="S605" s="11" t="s">
        <v>2629</v>
      </c>
      <c r="T605" s="12"/>
      <c r="U605" s="10" t="str">
        <f>HYPERLINK("https://pbs.twimg.com/profile_images/1043776966606884865/G4lwV7yU.jpg","View")</f>
        <v>View</v>
      </c>
    </row>
    <row r="606" spans="1:21" ht="61.2">
      <c r="A606" s="6">
        <v>43427.432037037041</v>
      </c>
      <c r="B606" s="7" t="str">
        <f>HYPERLINK("https://twitter.com/capitan_ja","@capitan_ja")</f>
        <v>@capitan_ja</v>
      </c>
      <c r="C606" s="8" t="s">
        <v>2630</v>
      </c>
      <c r="D606" s="9" t="s">
        <v>2631</v>
      </c>
      <c r="E606" s="10" t="str">
        <f>HYPERLINK("https://twitter.com/capitan_ja/status/1065898281501368320","1065898281501368320")</f>
        <v>1065898281501368320</v>
      </c>
      <c r="F606" s="11" t="s">
        <v>2632</v>
      </c>
      <c r="G606" s="12"/>
      <c r="H606" s="12"/>
      <c r="I606" s="13">
        <v>0</v>
      </c>
      <c r="J606" s="13">
        <v>0</v>
      </c>
      <c r="K606" s="14" t="str">
        <f t="shared" si="103"/>
        <v>Twitter Web Client</v>
      </c>
      <c r="L606" s="13">
        <v>1049</v>
      </c>
      <c r="M606" s="13">
        <v>1046</v>
      </c>
      <c r="N606" s="13">
        <v>17</v>
      </c>
      <c r="O606" s="15"/>
      <c r="P606" s="6">
        <v>41107.822650462964</v>
      </c>
      <c r="Q606" s="12"/>
      <c r="R606" s="18" t="s">
        <v>2635</v>
      </c>
      <c r="S606" s="12"/>
      <c r="T606" s="12"/>
      <c r="U606" s="10" t="str">
        <f>HYPERLINK("https://pbs.twimg.com/profile_images/764222146033946624/zeDTzS9-.jpg","View")</f>
        <v>View</v>
      </c>
    </row>
    <row r="607" spans="1:21" ht="40.799999999999997">
      <c r="A607" s="6">
        <v>43427.430856481486</v>
      </c>
      <c r="B607" s="7" t="str">
        <f>HYPERLINK("https://twitter.com/CarmenPr81","@CarmenPr81")</f>
        <v>@CarmenPr81</v>
      </c>
      <c r="C607" s="8" t="s">
        <v>2636</v>
      </c>
      <c r="D607" s="9" t="s">
        <v>2637</v>
      </c>
      <c r="E607" s="10" t="str">
        <f>HYPERLINK("https://twitter.com/CarmenPr81/status/1065897854177300480","1065897854177300480")</f>
        <v>1065897854177300480</v>
      </c>
      <c r="F607" s="11" t="s">
        <v>2638</v>
      </c>
      <c r="G607" s="12"/>
      <c r="H607" s="12"/>
      <c r="I607" s="13">
        <v>0</v>
      </c>
      <c r="J607" s="13">
        <v>0</v>
      </c>
      <c r="K607" s="14" t="str">
        <f>HYPERLINK("https://ifttt.com","IFTTT")</f>
        <v>IFTTT</v>
      </c>
      <c r="L607" s="13">
        <v>4074</v>
      </c>
      <c r="M607" s="13">
        <v>3582</v>
      </c>
      <c r="N607" s="13">
        <v>350</v>
      </c>
      <c r="O607" s="15"/>
      <c r="P607" s="6">
        <v>41002.797662037039</v>
      </c>
      <c r="Q607" s="17" t="s">
        <v>2639</v>
      </c>
      <c r="R607" s="18" t="s">
        <v>2640</v>
      </c>
      <c r="S607" s="11" t="s">
        <v>2641</v>
      </c>
      <c r="T607" s="12"/>
      <c r="U607" s="10" t="str">
        <f>HYPERLINK("https://pbs.twimg.com/profile_images/1060626153633914880/0X_cQnho.jpg","View")</f>
        <v>View</v>
      </c>
    </row>
    <row r="608" spans="1:21" ht="40.799999999999997">
      <c r="A608" s="6">
        <v>43427.430173611108</v>
      </c>
      <c r="B608" s="7" t="str">
        <f>HYPERLINK("https://twitter.com/rdp_periodistas","@rdp_periodistas")</f>
        <v>@rdp_periodistas</v>
      </c>
      <c r="C608" s="8" t="s">
        <v>2642</v>
      </c>
      <c r="D608" s="9" t="s">
        <v>2643</v>
      </c>
      <c r="E608" s="10" t="str">
        <f>HYPERLINK("https://twitter.com/rdp_periodistas/status/1065897606864400387","1065897606864400387")</f>
        <v>1065897606864400387</v>
      </c>
      <c r="F608" s="11" t="s">
        <v>2644</v>
      </c>
      <c r="G608" s="12"/>
      <c r="H608" s="12"/>
      <c r="I608" s="13">
        <v>0</v>
      </c>
      <c r="J608" s="13">
        <v>0</v>
      </c>
      <c r="K608" s="14" t="str">
        <f>HYPERLINK("http://twitter.com","Twitter Web Client")</f>
        <v>Twitter Web Client</v>
      </c>
      <c r="L608" s="13">
        <v>95</v>
      </c>
      <c r="M608" s="13">
        <v>117</v>
      </c>
      <c r="N608" s="13">
        <v>2</v>
      </c>
      <c r="O608" s="15"/>
      <c r="P608" s="6">
        <v>43294.959861111114</v>
      </c>
      <c r="Q608" s="17" t="s">
        <v>141</v>
      </c>
      <c r="R608" s="18" t="s">
        <v>2645</v>
      </c>
      <c r="S608" s="11" t="s">
        <v>2646</v>
      </c>
      <c r="T608" s="12"/>
      <c r="U608" s="10" t="str">
        <f>HYPERLINK("https://pbs.twimg.com/profile_images/1051932693783560197/X5RPNDmO.jpg","View")</f>
        <v>View</v>
      </c>
    </row>
    <row r="609" spans="1:21" ht="51">
      <c r="A609" s="6">
        <v>43427.430162037039</v>
      </c>
      <c r="B609" s="7" t="str">
        <f>HYPERLINK("https://twitter.com/JFPumarol","@JFPumarol")</f>
        <v>@JFPumarol</v>
      </c>
      <c r="C609" s="8" t="s">
        <v>2647</v>
      </c>
      <c r="D609" s="9" t="s">
        <v>2648</v>
      </c>
      <c r="E609" s="10" t="str">
        <f>HYPERLINK("https://twitter.com/JFPumarol/status/1065897603748036608","1065897603748036608")</f>
        <v>1065897603748036608</v>
      </c>
      <c r="F609" s="12"/>
      <c r="G609" s="12"/>
      <c r="H609" s="12"/>
      <c r="I609" s="13">
        <v>0</v>
      </c>
      <c r="J609" s="13">
        <v>0</v>
      </c>
      <c r="K609" s="14" t="str">
        <f>HYPERLINK("https://mobile.twitter.com","Twitter Lite")</f>
        <v>Twitter Lite</v>
      </c>
      <c r="L609" s="13">
        <v>41</v>
      </c>
      <c r="M609" s="13">
        <v>73</v>
      </c>
      <c r="N609" s="13">
        <v>0</v>
      </c>
      <c r="O609" s="15"/>
      <c r="P609" s="6">
        <v>41323.471655092595</v>
      </c>
      <c r="Q609" s="12"/>
      <c r="R609" s="19"/>
      <c r="S609" s="11" t="s">
        <v>2649</v>
      </c>
      <c r="T609" s="12"/>
      <c r="U609" s="10" t="str">
        <f>HYPERLINK("https://pbs.twimg.com/profile_images/968439259328737280/wQcpY2t9.jpg","View")</f>
        <v>View</v>
      </c>
    </row>
    <row r="610" spans="1:21" ht="30.6">
      <c r="A610" s="6">
        <v>43427.430150462962</v>
      </c>
      <c r="B610" s="7" t="str">
        <f>HYPERLINK("https://twitter.com/quini_candela","@quini_candela")</f>
        <v>@quini_candela</v>
      </c>
      <c r="C610" s="8" t="s">
        <v>2650</v>
      </c>
      <c r="D610" s="9" t="s">
        <v>2651</v>
      </c>
      <c r="E610" s="10" t="str">
        <f>HYPERLINK("https://twitter.com/quini_candela/status/1065897598211555329","1065897598211555329")</f>
        <v>1065897598211555329</v>
      </c>
      <c r="F610" s="11" t="s">
        <v>2652</v>
      </c>
      <c r="G610" s="11" t="s">
        <v>2653</v>
      </c>
      <c r="H610" s="12"/>
      <c r="I610" s="13">
        <v>0</v>
      </c>
      <c r="J610" s="13">
        <v>0</v>
      </c>
      <c r="K610" s="14" t="str">
        <f>HYPERLINK("http://publicize.wp.com/","WordPress.com")</f>
        <v>WordPress.com</v>
      </c>
      <c r="L610" s="13">
        <v>207</v>
      </c>
      <c r="M610" s="13">
        <v>131</v>
      </c>
      <c r="N610" s="13">
        <v>1</v>
      </c>
      <c r="O610" s="15"/>
      <c r="P610" s="6">
        <v>41897.672453703708</v>
      </c>
      <c r="Q610" s="12"/>
      <c r="R610" s="19"/>
      <c r="S610" s="12"/>
      <c r="T610" s="12"/>
      <c r="U610" s="10" t="str">
        <f>HYPERLINK("https://pbs.twimg.com/profile_images/541376387760680961/JvTqz-c5.jpeg","View")</f>
        <v>View</v>
      </c>
    </row>
    <row r="611" spans="1:21" ht="40.799999999999997">
      <c r="A611" s="6">
        <v>43427.429270833338</v>
      </c>
      <c r="B611" s="7" t="str">
        <f>HYPERLINK("https://twitter.com/begonacarrasco","@begonacarrasco")</f>
        <v>@begonacarrasco</v>
      </c>
      <c r="C611" s="8" t="s">
        <v>2654</v>
      </c>
      <c r="D611" s="9" t="s">
        <v>2655</v>
      </c>
      <c r="E611" s="10" t="str">
        <f>HYPERLINK("https://twitter.com/begonacarrasco/status/1065897278018342912","1065897278018342912")</f>
        <v>1065897278018342912</v>
      </c>
      <c r="F611" s="11" t="s">
        <v>2656</v>
      </c>
      <c r="G611" s="12"/>
      <c r="H611" s="12"/>
      <c r="I611" s="13">
        <v>0</v>
      </c>
      <c r="J611" s="13">
        <v>0</v>
      </c>
      <c r="K611" s="14" t="str">
        <f>HYPERLINK("https://about.twitter.com/products/tweetdeck","TweetDeck")</f>
        <v>TweetDeck</v>
      </c>
      <c r="L611" s="13">
        <v>1104</v>
      </c>
      <c r="M611" s="13">
        <v>880</v>
      </c>
      <c r="N611" s="13">
        <v>11</v>
      </c>
      <c r="O611" s="15"/>
      <c r="P611" s="6">
        <v>42309.463391203702</v>
      </c>
      <c r="Q611" s="17" t="s">
        <v>2657</v>
      </c>
      <c r="R611" s="18" t="s">
        <v>2658</v>
      </c>
      <c r="S611" s="12"/>
      <c r="T611" s="12"/>
      <c r="U611" s="10" t="str">
        <f>HYPERLINK("https://pbs.twimg.com/profile_images/1060992130892685313/av5rLTVz.jpg","View")</f>
        <v>View</v>
      </c>
    </row>
    <row r="612" spans="1:21" ht="20.399999999999999">
      <c r="A612" s="6">
        <v>43427.428819444445</v>
      </c>
      <c r="B612" s="7" t="str">
        <f>HYPERLINK("https://twitter.com/CUBAnoti","@CUBAnoti")</f>
        <v>@CUBAnoti</v>
      </c>
      <c r="C612" s="8" t="s">
        <v>2659</v>
      </c>
      <c r="D612" s="9" t="s">
        <v>2660</v>
      </c>
      <c r="E612" s="10" t="str">
        <f>HYPERLINK("https://twitter.com/CUBAnoti/status/1065897115057094657","1065897115057094657")</f>
        <v>1065897115057094657</v>
      </c>
      <c r="F612" s="11" t="s">
        <v>2661</v>
      </c>
      <c r="G612" s="12"/>
      <c r="H612" s="12"/>
      <c r="I612" s="13">
        <v>0</v>
      </c>
      <c r="J612" s="13">
        <v>0</v>
      </c>
      <c r="K612" s="14" t="str">
        <f>HYPERLINK("http://publicize.wp.com/","WordPress.com")</f>
        <v>WordPress.com</v>
      </c>
      <c r="L612" s="13">
        <v>64</v>
      </c>
      <c r="M612" s="13">
        <v>94</v>
      </c>
      <c r="N612" s="13">
        <v>0</v>
      </c>
      <c r="O612" s="15"/>
      <c r="P612" s="6">
        <v>42133.520590277782</v>
      </c>
      <c r="Q612" s="12"/>
      <c r="R612" s="19"/>
      <c r="S612" s="12"/>
      <c r="T612" s="12"/>
      <c r="U612" s="10" t="str">
        <f>HYPERLINK("https://pbs.twimg.com/profile_images/596985792368549891/pU-DGH_-.png","View")</f>
        <v>View</v>
      </c>
    </row>
    <row r="613" spans="1:21" ht="51">
      <c r="A613" s="6">
        <v>43427.427812499998</v>
      </c>
      <c r="B613" s="7" t="str">
        <f>HYPERLINK("https://twitter.com/RuthIliana46","@RuthIliana46")</f>
        <v>@RuthIliana46</v>
      </c>
      <c r="C613" s="8" t="s">
        <v>2662</v>
      </c>
      <c r="D613" s="9" t="s">
        <v>2663</v>
      </c>
      <c r="E613" s="10" t="str">
        <f>HYPERLINK("https://twitter.com/RuthIliana46/status/1065896751612211203","1065896751612211203")</f>
        <v>1065896751612211203</v>
      </c>
      <c r="F613" s="12"/>
      <c r="G613" s="12"/>
      <c r="H613" s="12"/>
      <c r="I613" s="13">
        <v>5</v>
      </c>
      <c r="J613" s="13">
        <v>6</v>
      </c>
      <c r="K613" s="14" t="str">
        <f>HYPERLINK("http://twitter.com/download/android","Twitter for Android")</f>
        <v>Twitter for Android</v>
      </c>
      <c r="L613" s="13">
        <v>4287</v>
      </c>
      <c r="M613" s="13">
        <v>4178</v>
      </c>
      <c r="N613" s="13">
        <v>483</v>
      </c>
      <c r="O613" s="15"/>
      <c r="P613" s="6">
        <v>41235.80333333333</v>
      </c>
      <c r="Q613" s="17" t="s">
        <v>1692</v>
      </c>
      <c r="R613" s="18" t="s">
        <v>2664</v>
      </c>
      <c r="S613" s="11" t="s">
        <v>2665</v>
      </c>
      <c r="T613" s="12"/>
      <c r="U613" s="10" t="str">
        <f>HYPERLINK("https://pbs.twimg.com/profile_images/976118533162721287/GaSph7A7.jpg","View")</f>
        <v>View</v>
      </c>
    </row>
    <row r="614" spans="1:21" ht="30.6">
      <c r="A614" s="6">
        <v>43427.427268518513</v>
      </c>
      <c r="B614" s="7" t="str">
        <f>HYPERLINK("https://twitter.com/TerminatorFern","@TerminatorFern")</f>
        <v>@TerminatorFern</v>
      </c>
      <c r="C614" s="8" t="s">
        <v>2666</v>
      </c>
      <c r="D614" s="9" t="s">
        <v>2667</v>
      </c>
      <c r="E614" s="10" t="str">
        <f>HYPERLINK("https://twitter.com/TerminatorFern/status/1065896554987483136","1065896554987483136")</f>
        <v>1065896554987483136</v>
      </c>
      <c r="F614" s="11" t="s">
        <v>2668</v>
      </c>
      <c r="G614" s="12"/>
      <c r="H614" s="12"/>
      <c r="I614" s="13">
        <v>0</v>
      </c>
      <c r="J614" s="13">
        <v>0</v>
      </c>
      <c r="K614" s="14" t="str">
        <f>HYPERLINK("https://buffer.com","Buffer")</f>
        <v>Buffer</v>
      </c>
      <c r="L614" s="13">
        <v>727</v>
      </c>
      <c r="M614" s="13">
        <v>2013</v>
      </c>
      <c r="N614" s="13">
        <v>6</v>
      </c>
      <c r="O614" s="15"/>
      <c r="P614" s="6">
        <v>42204.513877314814</v>
      </c>
      <c r="Q614" s="17" t="s">
        <v>2669</v>
      </c>
      <c r="R614" s="18" t="s">
        <v>2670</v>
      </c>
      <c r="S614" s="12"/>
      <c r="T614" s="12"/>
      <c r="U614" s="10" t="str">
        <f>HYPERLINK("https://pbs.twimg.com/profile_images/745303274463563777/GyIW12w_.jpg","View")</f>
        <v>View</v>
      </c>
    </row>
    <row r="615" spans="1:21" ht="51">
      <c r="A615" s="6">
        <v>43427.427002314813</v>
      </c>
      <c r="B615" s="7" t="str">
        <f>HYPERLINK("https://twitter.com/JFPumarol","@JFPumarol")</f>
        <v>@JFPumarol</v>
      </c>
      <c r="C615" s="8" t="s">
        <v>2647</v>
      </c>
      <c r="D615" s="9" t="s">
        <v>2671</v>
      </c>
      <c r="E615" s="10" t="str">
        <f>HYPERLINK("https://twitter.com/JFPumarol/status/1065896455586631680","1065896455586631680")</f>
        <v>1065896455586631680</v>
      </c>
      <c r="F615" s="12"/>
      <c r="G615" s="12"/>
      <c r="H615" s="12"/>
      <c r="I615" s="13">
        <v>0</v>
      </c>
      <c r="J615" s="13">
        <v>0</v>
      </c>
      <c r="K615" s="14" t="str">
        <f>HYPERLINK("https://mobile.twitter.com","Twitter Lite")</f>
        <v>Twitter Lite</v>
      </c>
      <c r="L615" s="13">
        <v>41</v>
      </c>
      <c r="M615" s="13">
        <v>73</v>
      </c>
      <c r="N615" s="13">
        <v>0</v>
      </c>
      <c r="O615" s="15"/>
      <c r="P615" s="6">
        <v>41323.471655092595</v>
      </c>
      <c r="Q615" s="12"/>
      <c r="R615" s="19"/>
      <c r="S615" s="11" t="s">
        <v>2649</v>
      </c>
      <c r="T615" s="12"/>
      <c r="U615" s="10" t="str">
        <f>HYPERLINK("https://pbs.twimg.com/profile_images/968439259328737280/wQcpY2t9.jpg","View")</f>
        <v>View</v>
      </c>
    </row>
    <row r="616" spans="1:21" ht="30.6">
      <c r="A616" s="6">
        <v>43427.426446759258</v>
      </c>
      <c r="B616" s="7" t="str">
        <f>HYPERLINK("https://twitter.com/pabloharour","@pabloharour")</f>
        <v>@pabloharour</v>
      </c>
      <c r="C616" s="8" t="s">
        <v>2672</v>
      </c>
      <c r="D616" s="9" t="s">
        <v>2673</v>
      </c>
      <c r="E616" s="10" t="str">
        <f>HYPERLINK("https://twitter.com/pabloharour/status/1065896256667615232","1065896256667615232")</f>
        <v>1065896256667615232</v>
      </c>
      <c r="F616" s="12"/>
      <c r="G616" s="11" t="s">
        <v>2674</v>
      </c>
      <c r="H616" s="12"/>
      <c r="I616" s="13">
        <v>6</v>
      </c>
      <c r="J616" s="13">
        <v>25</v>
      </c>
      <c r="K616" s="14" t="str">
        <f>HYPERLINK("http://twitter.com/download/android","Twitter for Android")</f>
        <v>Twitter for Android</v>
      </c>
      <c r="L616" s="13">
        <v>15440</v>
      </c>
      <c r="M616" s="13">
        <v>1102</v>
      </c>
      <c r="N616" s="13">
        <v>156</v>
      </c>
      <c r="O616" s="15"/>
      <c r="P616" s="6">
        <v>40427.804837962962</v>
      </c>
      <c r="Q616" s="17" t="s">
        <v>2675</v>
      </c>
      <c r="R616" s="18" t="s">
        <v>2676</v>
      </c>
      <c r="S616" s="11" t="s">
        <v>2677</v>
      </c>
      <c r="T616" s="12"/>
      <c r="U616" s="10" t="str">
        <f>HYPERLINK("https://pbs.twimg.com/profile_images/1020970215969116161/YVrFox4L.jpg","View")</f>
        <v>View</v>
      </c>
    </row>
    <row r="617" spans="1:21" ht="40.799999999999997">
      <c r="A617" s="6">
        <v>43427.426180555558</v>
      </c>
      <c r="B617" s="7" t="str">
        <f>HYPERLINK("https://twitter.com/frmonti","@frmonti")</f>
        <v>@frmonti</v>
      </c>
      <c r="C617" s="8" t="s">
        <v>2678</v>
      </c>
      <c r="D617" s="9" t="s">
        <v>2679</v>
      </c>
      <c r="E617" s="10" t="str">
        <f>HYPERLINK("https://twitter.com/frmonti/status/1065896161003929600","1065896161003929600")</f>
        <v>1065896161003929600</v>
      </c>
      <c r="F617" s="12"/>
      <c r="G617" s="11" t="s">
        <v>2681</v>
      </c>
      <c r="H617" s="12"/>
      <c r="I617" s="13">
        <v>0</v>
      </c>
      <c r="J617" s="13">
        <v>0</v>
      </c>
      <c r="K617" s="14" t="str">
        <f>HYPERLINK("http://twitter.com","Twitter Web Client")</f>
        <v>Twitter Web Client</v>
      </c>
      <c r="L617" s="13">
        <v>982</v>
      </c>
      <c r="M617" s="13">
        <v>511</v>
      </c>
      <c r="N617" s="13">
        <v>42</v>
      </c>
      <c r="O617" s="15"/>
      <c r="P617" s="6">
        <v>40556.422199074077</v>
      </c>
      <c r="Q617" s="17" t="s">
        <v>72</v>
      </c>
      <c r="R617" s="18" t="s">
        <v>2684</v>
      </c>
      <c r="S617" s="11" t="s">
        <v>2685</v>
      </c>
      <c r="T617" s="12"/>
      <c r="U617" s="10" t="str">
        <f>HYPERLINK("https://pbs.twimg.com/profile_images/1035444707525111808/xHc1wHkR.jpg","View")</f>
        <v>View</v>
      </c>
    </row>
    <row r="618" spans="1:21" ht="20.399999999999999">
      <c r="A618" s="6">
        <v>43427.424293981487</v>
      </c>
      <c r="B618" s="7" t="str">
        <f>HYPERLINK("https://twitter.com/TeresaGS26","@TeresaGS26")</f>
        <v>@TeresaGS26</v>
      </c>
      <c r="C618" s="8" t="s">
        <v>2686</v>
      </c>
      <c r="D618" s="9" t="s">
        <v>2687</v>
      </c>
      <c r="E618" s="10" t="str">
        <f>HYPERLINK("https://twitter.com/TeresaGS26/status/1065895475293896704","1065895475293896704")</f>
        <v>1065895475293896704</v>
      </c>
      <c r="F618" s="11" t="s">
        <v>746</v>
      </c>
      <c r="G618" s="12"/>
      <c r="H618" s="12"/>
      <c r="I618" s="13">
        <v>0</v>
      </c>
      <c r="J618" s="13">
        <v>0</v>
      </c>
      <c r="K618" s="14" t="str">
        <f>HYPERLINK("http://twitter.com/download/iphone","Twitter for iPhone")</f>
        <v>Twitter for iPhone</v>
      </c>
      <c r="L618" s="13">
        <v>837</v>
      </c>
      <c r="M618" s="13">
        <v>1017</v>
      </c>
      <c r="N618" s="13">
        <v>17</v>
      </c>
      <c r="O618" s="15"/>
      <c r="P618" s="6">
        <v>42241.614548611113</v>
      </c>
      <c r="Q618" s="12"/>
      <c r="R618" s="18" t="s">
        <v>2688</v>
      </c>
      <c r="S618" s="12"/>
      <c r="T618" s="12"/>
      <c r="U618" s="10" t="str">
        <f>HYPERLINK("https://pbs.twimg.com/profile_images/636159808249446400/2J9thX4B.jpg","View")</f>
        <v>View</v>
      </c>
    </row>
    <row r="619" spans="1:21" ht="40.799999999999997">
      <c r="A619" s="6">
        <v>43427.424050925925</v>
      </c>
      <c r="B619" s="7" t="str">
        <f>HYPERLINK("https://twitter.com/raulsanchezfl","@raulsanchezfl")</f>
        <v>@raulsanchezfl</v>
      </c>
      <c r="C619" s="8" t="s">
        <v>2689</v>
      </c>
      <c r="D619" s="9" t="s">
        <v>2690</v>
      </c>
      <c r="E619" s="10" t="str">
        <f>HYPERLINK("https://twitter.com/raulsanchezfl/status/1065895387846897664","1065895387846897664")</f>
        <v>1065895387846897664</v>
      </c>
      <c r="F619" s="11" t="s">
        <v>2691</v>
      </c>
      <c r="G619" s="12"/>
      <c r="H619" s="12"/>
      <c r="I619" s="13">
        <v>0</v>
      </c>
      <c r="J619" s="13">
        <v>0</v>
      </c>
      <c r="K619" s="14" t="str">
        <f>HYPERLINK("http://twitter.com","Twitter Web Client")</f>
        <v>Twitter Web Client</v>
      </c>
      <c r="L619" s="13">
        <v>2292</v>
      </c>
      <c r="M619" s="13">
        <v>338</v>
      </c>
      <c r="N619" s="13">
        <v>154</v>
      </c>
      <c r="O619" s="15"/>
      <c r="P619" s="6">
        <v>40843.864351851851</v>
      </c>
      <c r="Q619" s="12"/>
      <c r="R619" s="18" t="s">
        <v>2692</v>
      </c>
      <c r="S619" s="11" t="s">
        <v>2693</v>
      </c>
      <c r="T619" s="12"/>
      <c r="U619" s="10" t="str">
        <f>HYPERLINK("https://pbs.twimg.com/profile_images/815608107636326401/VxIAzdkq.jpg","View")</f>
        <v>View</v>
      </c>
    </row>
    <row r="620" spans="1:21" ht="51">
      <c r="A620" s="6">
        <v>43427.423541666663</v>
      </c>
      <c r="B620" s="7" t="str">
        <f>HYPERLINK("https://twitter.com/virpb","@virpb")</f>
        <v>@virpb</v>
      </c>
      <c r="C620" s="8" t="s">
        <v>2694</v>
      </c>
      <c r="D620" s="9" t="s">
        <v>2695</v>
      </c>
      <c r="E620" s="10" t="str">
        <f>HYPERLINK("https://twitter.com/virpb/status/1065895201598771202","1065895201598771202")</f>
        <v>1065895201598771202</v>
      </c>
      <c r="F620" s="17" t="s">
        <v>2696</v>
      </c>
      <c r="G620" s="12"/>
      <c r="H620" s="12"/>
      <c r="I620" s="13">
        <v>1</v>
      </c>
      <c r="J620" s="13">
        <v>1</v>
      </c>
      <c r="K620" s="14" t="str">
        <f>HYPERLINK("http://twitter.com/download/iphone","Twitter for iPhone")</f>
        <v>Twitter for iPhone</v>
      </c>
      <c r="L620" s="13">
        <v>2980</v>
      </c>
      <c r="M620" s="13">
        <v>1067</v>
      </c>
      <c r="N620" s="13">
        <v>32</v>
      </c>
      <c r="O620" s="15"/>
      <c r="P620" s="6">
        <v>41231.741053240738</v>
      </c>
      <c r="Q620" s="17" t="s">
        <v>27</v>
      </c>
      <c r="R620" s="18" t="s">
        <v>2697</v>
      </c>
      <c r="S620" s="12"/>
      <c r="T620" s="12"/>
      <c r="U620" s="10" t="str">
        <f>HYPERLINK("https://pbs.twimg.com/profile_images/1000343511403778048/bmOTcuaV.jpg","View")</f>
        <v>View</v>
      </c>
    </row>
    <row r="621" spans="1:21" ht="20.399999999999999">
      <c r="A621" s="6">
        <v>43427.423495370371</v>
      </c>
      <c r="B621" s="7" t="str">
        <f>HYPERLINK("https://twitter.com/ConcentradoNoti","@ConcentradoNoti")</f>
        <v>@ConcentradoNoti</v>
      </c>
      <c r="C621" s="8" t="s">
        <v>2698</v>
      </c>
      <c r="D621" s="9" t="s">
        <v>2191</v>
      </c>
      <c r="E621" s="10" t="str">
        <f>HYPERLINK("https://twitter.com/ConcentradoNoti/status/1065895185924657152","1065895185924657152")</f>
        <v>1065895185924657152</v>
      </c>
      <c r="F621" s="11" t="s">
        <v>2699</v>
      </c>
      <c r="G621" s="11" t="s">
        <v>2700</v>
      </c>
      <c r="H621" s="12"/>
      <c r="I621" s="13">
        <v>0</v>
      </c>
      <c r="J621" s="13">
        <v>0</v>
      </c>
      <c r="K621" s="14" t="str">
        <f>HYPERLINK("http://publicize.wp.com/","WordPress.com")</f>
        <v>WordPress.com</v>
      </c>
      <c r="L621" s="13">
        <v>1744</v>
      </c>
      <c r="M621" s="13">
        <v>1644</v>
      </c>
      <c r="N621" s="13">
        <v>20</v>
      </c>
      <c r="O621" s="15"/>
      <c r="P621" s="6">
        <v>41068.30972222222</v>
      </c>
      <c r="Q621" s="17" t="s">
        <v>2701</v>
      </c>
      <c r="R621" s="18" t="s">
        <v>2698</v>
      </c>
      <c r="S621" s="11" t="s">
        <v>2702</v>
      </c>
      <c r="T621" s="12"/>
      <c r="U621" s="10" t="str">
        <f>HYPERLINK("https://pbs.twimg.com/profile_images/871715938697060353/NFTl33TY.jpg","View")</f>
        <v>View</v>
      </c>
    </row>
    <row r="622" spans="1:21" ht="30.6">
      <c r="A622" s="6">
        <v>43427.422418981485</v>
      </c>
      <c r="B622" s="7" t="str">
        <f>HYPERLINK("https://twitter.com/Mari__Casanova","@Mari__Casanova")</f>
        <v>@Mari__Casanova</v>
      </c>
      <c r="C622" s="8" t="s">
        <v>1324</v>
      </c>
      <c r="D622" s="9" t="s">
        <v>2703</v>
      </c>
      <c r="E622" s="10" t="str">
        <f>HYPERLINK("https://twitter.com/Mari__Casanova/status/1065894797192413185","1065894797192413185")</f>
        <v>1065894797192413185</v>
      </c>
      <c r="F622" s="11" t="s">
        <v>1241</v>
      </c>
      <c r="G622" s="12"/>
      <c r="H622" s="12"/>
      <c r="I622" s="13">
        <v>0</v>
      </c>
      <c r="J622" s="13">
        <v>0</v>
      </c>
      <c r="K622" s="14" t="str">
        <f>HYPERLINK("https://ifttt.com","IFTTT")</f>
        <v>IFTTT</v>
      </c>
      <c r="L622" s="13">
        <v>705</v>
      </c>
      <c r="M622" s="13">
        <v>163</v>
      </c>
      <c r="N622" s="13">
        <v>2</v>
      </c>
      <c r="O622" s="15"/>
      <c r="P622" s="6">
        <v>42944.109861111108</v>
      </c>
      <c r="Q622" s="17" t="s">
        <v>1327</v>
      </c>
      <c r="R622" s="18" t="s">
        <v>1328</v>
      </c>
      <c r="S622" s="12"/>
      <c r="T622" s="12"/>
      <c r="U622" s="10" t="str">
        <f>HYPERLINK("https://pbs.twimg.com/profile_images/986637601372241920/zT1yyMnO.jpg","View")</f>
        <v>View</v>
      </c>
    </row>
    <row r="623" spans="1:21" ht="51">
      <c r="A623" s="6">
        <v>43427.422175925924</v>
      </c>
      <c r="B623" s="7" t="str">
        <f>HYPERLINK("https://twitter.com/Cs_CLM","@Cs_CLM")</f>
        <v>@Cs_CLM</v>
      </c>
      <c r="C623" s="8" t="s">
        <v>1453</v>
      </c>
      <c r="D623" s="9" t="s">
        <v>2705</v>
      </c>
      <c r="E623" s="10" t="str">
        <f>HYPERLINK("https://twitter.com/Cs_CLM/status/1065894709002989569","1065894709002989569")</f>
        <v>1065894709002989569</v>
      </c>
      <c r="F623" s="12"/>
      <c r="G623" s="11" t="s">
        <v>2706</v>
      </c>
      <c r="H623" s="12"/>
      <c r="I623" s="13">
        <v>5</v>
      </c>
      <c r="J623" s="13">
        <v>6</v>
      </c>
      <c r="K623" s="14" t="str">
        <f>HYPERLINK("http://twitter.com/download/iphone","Twitter for iPhone")</f>
        <v>Twitter for iPhone</v>
      </c>
      <c r="L623" s="13">
        <v>4223</v>
      </c>
      <c r="M623" s="13">
        <v>628</v>
      </c>
      <c r="N623" s="13">
        <v>72</v>
      </c>
      <c r="O623" s="15"/>
      <c r="P623" s="6">
        <v>42106.981793981482</v>
      </c>
      <c r="Q623" s="17" t="s">
        <v>1456</v>
      </c>
      <c r="R623" s="18" t="s">
        <v>1457</v>
      </c>
      <c r="S623" s="11" t="s">
        <v>1458</v>
      </c>
      <c r="T623" s="12"/>
      <c r="U623" s="10" t="str">
        <f>HYPERLINK("https://pbs.twimg.com/profile_images/1053405513923416064/Z9jG76VP.jpg","View")</f>
        <v>View</v>
      </c>
    </row>
    <row r="624" spans="1:21" ht="40.799999999999997">
      <c r="A624" s="6">
        <v>43427.422071759254</v>
      </c>
      <c r="B624" s="7" t="str">
        <f>HYPERLINK("https://twitter.com/cronicaglobal","@cronicaglobal")</f>
        <v>@cronicaglobal</v>
      </c>
      <c r="C624" s="8" t="s">
        <v>1165</v>
      </c>
      <c r="D624" s="9" t="s">
        <v>2707</v>
      </c>
      <c r="E624" s="10" t="str">
        <f>HYPERLINK("https://twitter.com/cronicaglobal/status/1065894670046236672","1065894670046236672")</f>
        <v>1065894670046236672</v>
      </c>
      <c r="F624" s="11" t="s">
        <v>2708</v>
      </c>
      <c r="G624" s="11" t="s">
        <v>2709</v>
      </c>
      <c r="H624" s="12"/>
      <c r="I624" s="13">
        <v>9</v>
      </c>
      <c r="J624" s="13">
        <v>2</v>
      </c>
      <c r="K624" s="14" t="str">
        <f>HYPERLINK("http://twitter.com","Twitter Web Client")</f>
        <v>Twitter Web Client</v>
      </c>
      <c r="L624" s="13">
        <v>33622</v>
      </c>
      <c r="M624" s="13">
        <v>14011</v>
      </c>
      <c r="N624" s="13">
        <v>734</v>
      </c>
      <c r="O624" s="16" t="s">
        <v>26</v>
      </c>
      <c r="P624" s="6">
        <v>40095.536770833336</v>
      </c>
      <c r="Q624" s="17" t="s">
        <v>191</v>
      </c>
      <c r="R624" s="18" t="s">
        <v>1168</v>
      </c>
      <c r="S624" s="11" t="s">
        <v>1169</v>
      </c>
      <c r="T624" s="12"/>
      <c r="U624" s="10" t="str">
        <f>HYPERLINK("https://pbs.twimg.com/profile_images/950307027389165573/hJwYO6Bw.jpg","View")</f>
        <v>View</v>
      </c>
    </row>
    <row r="625" spans="1:21" ht="51">
      <c r="A625" s="6">
        <v>43427.420659722222</v>
      </c>
      <c r="B625" s="7" t="str">
        <f>HYPERLINK("https://twitter.com/aleman1492","@aleman1492")</f>
        <v>@aleman1492</v>
      </c>
      <c r="C625" s="8" t="s">
        <v>2711</v>
      </c>
      <c r="D625" s="9" t="s">
        <v>2712</v>
      </c>
      <c r="E625" s="10" t="str">
        <f>HYPERLINK("https://twitter.com/aleman1492/status/1065894159976939520","1065894159976939520")</f>
        <v>1065894159976939520</v>
      </c>
      <c r="F625" s="12"/>
      <c r="G625" s="12"/>
      <c r="H625" s="12"/>
      <c r="I625" s="13">
        <v>0</v>
      </c>
      <c r="J625" s="13">
        <v>0</v>
      </c>
      <c r="K625" s="14" t="str">
        <f>HYPERLINK("http://twitter.com/#!/download/ipad","Twitter for iPad")</f>
        <v>Twitter for iPad</v>
      </c>
      <c r="L625" s="13">
        <v>617</v>
      </c>
      <c r="M625" s="13">
        <v>662</v>
      </c>
      <c r="N625" s="13">
        <v>3</v>
      </c>
      <c r="O625" s="15"/>
      <c r="P625" s="6">
        <v>41729.777581018519</v>
      </c>
      <c r="Q625" s="12"/>
      <c r="R625" s="18" t="s">
        <v>2713</v>
      </c>
      <c r="S625" s="12"/>
      <c r="T625" s="12"/>
      <c r="U625" s="10" t="str">
        <f>HYPERLINK("https://pbs.twimg.com/profile_images/665888009267621889/el3q0VKo.jpg","View")</f>
        <v>View</v>
      </c>
    </row>
    <row r="626" spans="1:21" ht="30.6">
      <c r="A626" s="6">
        <v>43427.419837962967</v>
      </c>
      <c r="B626" s="7" t="str">
        <f>HYPERLINK("https://twitter.com/elperroverde60","@elperroverde60")</f>
        <v>@elperroverde60</v>
      </c>
      <c r="C626" s="8" t="s">
        <v>2714</v>
      </c>
      <c r="D626" s="9" t="s">
        <v>1596</v>
      </c>
      <c r="E626" s="10" t="str">
        <f>HYPERLINK("https://twitter.com/elperroverde60/status/1065893862680522752","1065893862680522752")</f>
        <v>1065893862680522752</v>
      </c>
      <c r="F626" s="11" t="s">
        <v>2715</v>
      </c>
      <c r="G626" s="12"/>
      <c r="H626" s="12"/>
      <c r="I626" s="13">
        <v>0</v>
      </c>
      <c r="J626" s="13">
        <v>0</v>
      </c>
      <c r="K626" s="14" t="str">
        <f>HYPERLINK("http://twitter.com/download/android","Twitter for Android")</f>
        <v>Twitter for Android</v>
      </c>
      <c r="L626" s="13">
        <v>487</v>
      </c>
      <c r="M626" s="13">
        <v>1070</v>
      </c>
      <c r="N626" s="13">
        <v>15</v>
      </c>
      <c r="O626" s="15"/>
      <c r="P626" s="6">
        <v>42089.883263888885</v>
      </c>
      <c r="Q626" s="17" t="s">
        <v>2716</v>
      </c>
      <c r="R626" s="18" t="s">
        <v>2717</v>
      </c>
      <c r="S626" s="11" t="s">
        <v>2718</v>
      </c>
      <c r="T626" s="12"/>
      <c r="U626" s="10" t="str">
        <f>HYPERLINK("https://pbs.twimg.com/profile_images/910885355607511041/DPA_yUF4.jpg","View")</f>
        <v>View</v>
      </c>
    </row>
    <row r="627" spans="1:21" ht="40.799999999999997">
      <c r="A627" s="6">
        <v>43427.419340277775</v>
      </c>
      <c r="B627" s="7" t="str">
        <f>HYPERLINK("https://twitter.com/Zibelinam","@Zibelinam")</f>
        <v>@Zibelinam</v>
      </c>
      <c r="C627" s="8" t="s">
        <v>42</v>
      </c>
      <c r="D627" s="9" t="s">
        <v>2719</v>
      </c>
      <c r="E627" s="10" t="str">
        <f>HYPERLINK("https://twitter.com/Zibelinam/status/1065893681947914240","1065893681947914240")</f>
        <v>1065893681947914240</v>
      </c>
      <c r="F627" s="11" t="s">
        <v>2720</v>
      </c>
      <c r="G627" s="12"/>
      <c r="H627" s="12"/>
      <c r="I627" s="13">
        <v>1</v>
      </c>
      <c r="J627" s="13">
        <v>1</v>
      </c>
      <c r="K627" s="14" t="str">
        <f t="shared" ref="K627:K628" si="104">HYPERLINK("http://twitter.com/download/iphone","Twitter for iPhone")</f>
        <v>Twitter for iPhone</v>
      </c>
      <c r="L627" s="13">
        <v>4089</v>
      </c>
      <c r="M627" s="13">
        <v>4008</v>
      </c>
      <c r="N627" s="13">
        <v>19</v>
      </c>
      <c r="O627" s="15"/>
      <c r="P627" s="6">
        <v>41405.65353009259</v>
      </c>
      <c r="Q627" s="17" t="s">
        <v>47</v>
      </c>
      <c r="R627" s="18" t="s">
        <v>48</v>
      </c>
      <c r="S627" s="12"/>
      <c r="T627" s="12"/>
      <c r="U627" s="10" t="str">
        <f>HYPERLINK("https://pbs.twimg.com/profile_images/929426502416027649/07tvgMQf.jpg","View")</f>
        <v>View</v>
      </c>
    </row>
    <row r="628" spans="1:21" ht="40.799999999999997">
      <c r="A628" s="6">
        <v>43427.419305555552</v>
      </c>
      <c r="B628" s="7" t="str">
        <f>HYPERLINK("https://twitter.com/SoriaEqsosa","@SoriaEqsosa")</f>
        <v>@SoriaEqsosa</v>
      </c>
      <c r="C628" s="8" t="s">
        <v>2721</v>
      </c>
      <c r="D628" s="9" t="s">
        <v>2722</v>
      </c>
      <c r="E628" s="10" t="str">
        <f>HYPERLINK("https://twitter.com/SoriaEqsosa/status/1065893668811350017","1065893668811350017")</f>
        <v>1065893668811350017</v>
      </c>
      <c r="F628" s="12"/>
      <c r="G628" s="12"/>
      <c r="H628" s="12"/>
      <c r="I628" s="13">
        <v>0</v>
      </c>
      <c r="J628" s="13">
        <v>0</v>
      </c>
      <c r="K628" s="14" t="str">
        <f t="shared" si="104"/>
        <v>Twitter for iPhone</v>
      </c>
      <c r="L628" s="13">
        <v>52</v>
      </c>
      <c r="M628" s="13">
        <v>199</v>
      </c>
      <c r="N628" s="13">
        <v>1</v>
      </c>
      <c r="O628" s="15"/>
      <c r="P628" s="6">
        <v>42453.489664351851</v>
      </c>
      <c r="Q628" s="12"/>
      <c r="R628" s="19"/>
      <c r="S628" s="12"/>
      <c r="T628" s="12"/>
      <c r="U628" s="10" t="str">
        <f>HYPERLINK("https://pbs.twimg.com/profile_images/903308692552077313/JKZrsQil.jpg","View")</f>
        <v>View</v>
      </c>
    </row>
    <row r="629" spans="1:21" ht="51">
      <c r="A629" s="6">
        <v>43427.419131944444</v>
      </c>
      <c r="B629" s="7" t="str">
        <f>HYPERLINK("https://twitter.com/PapadePeronia","@PapadePeronia")</f>
        <v>@PapadePeronia</v>
      </c>
      <c r="C629" s="8" t="s">
        <v>2723</v>
      </c>
      <c r="D629" s="9" t="s">
        <v>2724</v>
      </c>
      <c r="E629" s="10" t="str">
        <f>HYPERLINK("https://twitter.com/PapadePeronia/status/1065893603636117504","1065893603636117504")</f>
        <v>1065893603636117504</v>
      </c>
      <c r="F629" s="11" t="s">
        <v>120</v>
      </c>
      <c r="G629" s="12"/>
      <c r="H629" s="12"/>
      <c r="I629" s="13">
        <v>0</v>
      </c>
      <c r="J629" s="13">
        <v>0</v>
      </c>
      <c r="K629" s="14" t="str">
        <f>HYPERLINK("https://mobile.twitter.com","Twitter Lite")</f>
        <v>Twitter Lite</v>
      </c>
      <c r="L629" s="13">
        <v>3288</v>
      </c>
      <c r="M629" s="13">
        <v>103</v>
      </c>
      <c r="N629" s="13">
        <v>23</v>
      </c>
      <c r="O629" s="15"/>
      <c r="P629" s="6">
        <v>40345.766250000001</v>
      </c>
      <c r="Q629" s="17" t="s">
        <v>2725</v>
      </c>
      <c r="R629" s="18" t="s">
        <v>2726</v>
      </c>
      <c r="S629" s="12"/>
      <c r="T629" s="12"/>
      <c r="U629" s="10" t="str">
        <f>HYPERLINK("https://pbs.twimg.com/profile_images/1011469317240745984/npnODlkj.jpg","View")</f>
        <v>View</v>
      </c>
    </row>
    <row r="630" spans="1:21" ht="40.799999999999997">
      <c r="A630" s="6">
        <v>43427.418865740736</v>
      </c>
      <c r="B630" s="7" t="str">
        <f>HYPERLINK("https://twitter.com/PPCiudadReal1","@PPCiudadReal1")</f>
        <v>@PPCiudadReal1</v>
      </c>
      <c r="C630" s="8" t="s">
        <v>2727</v>
      </c>
      <c r="D630" s="9" t="s">
        <v>1143</v>
      </c>
      <c r="E630" s="10" t="str">
        <f>HYPERLINK("https://twitter.com/PPCiudadReal1/status/1065893509230665728","1065893509230665728")</f>
        <v>1065893509230665728</v>
      </c>
      <c r="F630" s="11" t="s">
        <v>2728</v>
      </c>
      <c r="G630" s="12"/>
      <c r="H630" s="12"/>
      <c r="I630" s="13">
        <v>0</v>
      </c>
      <c r="J630" s="13">
        <v>0</v>
      </c>
      <c r="K630" s="14" t="str">
        <f>HYPERLINK("http://twitter.com","Twitter Web Client")</f>
        <v>Twitter Web Client</v>
      </c>
      <c r="L630" s="13">
        <v>2166</v>
      </c>
      <c r="M630" s="13">
        <v>796</v>
      </c>
      <c r="N630" s="13">
        <v>36</v>
      </c>
      <c r="O630" s="16" t="s">
        <v>26</v>
      </c>
      <c r="P630" s="6">
        <v>40990.812488425923</v>
      </c>
      <c r="Q630" s="17" t="s">
        <v>940</v>
      </c>
      <c r="R630" s="18" t="s">
        <v>2729</v>
      </c>
      <c r="S630" s="11" t="s">
        <v>2730</v>
      </c>
      <c r="T630" s="12"/>
      <c r="U630" s="10" t="str">
        <f>HYPERLINK("https://pbs.twimg.com/profile_images/1054273698591633408/Eu5aE1CI.jpg","View")</f>
        <v>View</v>
      </c>
    </row>
    <row r="631" spans="1:21" ht="40.799999999999997">
      <c r="A631" s="6">
        <v>43427.418587962966</v>
      </c>
      <c r="B631" s="7" t="str">
        <f>HYPERLINK("https://twitter.com/VeoInfo_","@VeoInfo_")</f>
        <v>@VeoInfo_</v>
      </c>
      <c r="C631" s="8" t="s">
        <v>456</v>
      </c>
      <c r="D631" s="9" t="s">
        <v>2438</v>
      </c>
      <c r="E631" s="10" t="str">
        <f>HYPERLINK("https://twitter.com/VeoInfo_/status/1065893406075965440","1065893406075965440")</f>
        <v>1065893406075965440</v>
      </c>
      <c r="F631" s="17" t="s">
        <v>2732</v>
      </c>
      <c r="G631" s="12"/>
      <c r="H631" s="12"/>
      <c r="I631" s="13">
        <v>0</v>
      </c>
      <c r="J631" s="13">
        <v>0</v>
      </c>
      <c r="K631" s="14" t="str">
        <f>HYPERLINK("http://publicize.wp.com/","WordPress.com")</f>
        <v>WordPress.com</v>
      </c>
      <c r="L631" s="13">
        <v>1135</v>
      </c>
      <c r="M631" s="13">
        <v>1139</v>
      </c>
      <c r="N631" s="13">
        <v>36</v>
      </c>
      <c r="O631" s="15"/>
      <c r="P631" s="6">
        <v>41881.101840277777</v>
      </c>
      <c r="Q631" s="17" t="s">
        <v>459</v>
      </c>
      <c r="R631" s="18" t="s">
        <v>460</v>
      </c>
      <c r="S631" s="11" t="s">
        <v>461</v>
      </c>
      <c r="T631" s="12"/>
      <c r="U631" s="10" t="str">
        <f>HYPERLINK("https://pbs.twimg.com/profile_images/601509372305485827/Val0dfGy.png","View")</f>
        <v>View</v>
      </c>
    </row>
    <row r="632" spans="1:21" ht="30.6">
      <c r="A632" s="6">
        <v>43427.41710648148</v>
      </c>
      <c r="B632" s="7" t="str">
        <f>HYPERLINK("https://twitter.com/Levowsky","@Levowsky")</f>
        <v>@Levowsky</v>
      </c>
      <c r="C632" s="8" t="s">
        <v>2735</v>
      </c>
      <c r="D632" s="9" t="s">
        <v>2736</v>
      </c>
      <c r="E632" s="10" t="str">
        <f>HYPERLINK("https://twitter.com/Levowsky/status/1065892870245236737","1065892870245236737")</f>
        <v>1065892870245236737</v>
      </c>
      <c r="F632" s="12"/>
      <c r="G632" s="11" t="s">
        <v>2737</v>
      </c>
      <c r="H632" s="12"/>
      <c r="I632" s="13">
        <v>0</v>
      </c>
      <c r="J632" s="13">
        <v>1</v>
      </c>
      <c r="K632" s="14" t="str">
        <f>HYPERLINK("http://twitter.com","Twitter Web Client")</f>
        <v>Twitter Web Client</v>
      </c>
      <c r="L632" s="13">
        <v>142</v>
      </c>
      <c r="M632" s="13">
        <v>424</v>
      </c>
      <c r="N632" s="13">
        <v>3</v>
      </c>
      <c r="O632" s="15"/>
      <c r="P632" s="6">
        <v>40471.500509259262</v>
      </c>
      <c r="Q632" s="17" t="s">
        <v>2738</v>
      </c>
      <c r="R632" s="18" t="s">
        <v>2739</v>
      </c>
      <c r="S632" s="12"/>
      <c r="T632" s="12"/>
      <c r="U632" s="10" t="str">
        <f>HYPERLINK("https://pbs.twimg.com/profile_images/1653462416/images.jpeg","View")</f>
        <v>View</v>
      </c>
    </row>
    <row r="633" spans="1:21" ht="20.399999999999999">
      <c r="A633" s="6">
        <v>43427.416886574079</v>
      </c>
      <c r="B633" s="7" t="str">
        <f>HYPERLINK("https://twitter.com/PSOEAytMarbella","@PSOEAytMarbella")</f>
        <v>@PSOEAytMarbella</v>
      </c>
      <c r="C633" s="8" t="s">
        <v>1034</v>
      </c>
      <c r="D633" s="9" t="s">
        <v>2740</v>
      </c>
      <c r="E633" s="10" t="str">
        <f>HYPERLINK("https://twitter.com/PSOEAytMarbella/status/1065892789525852161","1065892789525852161")</f>
        <v>1065892789525852161</v>
      </c>
      <c r="F633" s="11" t="s">
        <v>2741</v>
      </c>
      <c r="G633" s="12"/>
      <c r="H633" s="12"/>
      <c r="I633" s="13">
        <v>2</v>
      </c>
      <c r="J633" s="13">
        <v>0</v>
      </c>
      <c r="K633" s="14" t="str">
        <f t="shared" ref="K633:K634" si="105">HYPERLINK("http://www.tweetcaster.com","TweetCaster for Android")</f>
        <v>TweetCaster for Android</v>
      </c>
      <c r="L633" s="13">
        <v>346</v>
      </c>
      <c r="M633" s="13">
        <v>1507</v>
      </c>
      <c r="N633" s="13">
        <v>7</v>
      </c>
      <c r="O633" s="15"/>
      <c r="P633" s="6">
        <v>43034.684652777782</v>
      </c>
      <c r="Q633" s="17" t="s">
        <v>1036</v>
      </c>
      <c r="R633" s="18" t="s">
        <v>1037</v>
      </c>
      <c r="S633" s="12"/>
      <c r="T633" s="12"/>
      <c r="U633" s="10" t="str">
        <f>HYPERLINK("https://pbs.twimg.com/profile_images/924967196442415105/NnBKTL2g.jpg","View")</f>
        <v>View</v>
      </c>
    </row>
    <row r="634" spans="1:21" ht="40.799999999999997">
      <c r="A634" s="6">
        <v>43427.416874999995</v>
      </c>
      <c r="B634" s="7" t="str">
        <f>HYPERLINK("https://twitter.com/PSOE_SanPedro","@PSOE_SanPedro")</f>
        <v>@PSOE_SanPedro</v>
      </c>
      <c r="C634" s="8" t="s">
        <v>1015</v>
      </c>
      <c r="D634" s="9" t="s">
        <v>2740</v>
      </c>
      <c r="E634" s="10" t="str">
        <f>HYPERLINK("https://twitter.com/PSOE_SanPedro/status/1065892786996736000","1065892786996736000")</f>
        <v>1065892786996736000</v>
      </c>
      <c r="F634" s="11" t="s">
        <v>2741</v>
      </c>
      <c r="G634" s="12"/>
      <c r="H634" s="12"/>
      <c r="I634" s="13">
        <v>1</v>
      </c>
      <c r="J634" s="13">
        <v>0</v>
      </c>
      <c r="K634" s="14" t="str">
        <f t="shared" si="105"/>
        <v>TweetCaster for Android</v>
      </c>
      <c r="L634" s="13">
        <v>2542</v>
      </c>
      <c r="M634" s="13">
        <v>1826</v>
      </c>
      <c r="N634" s="13">
        <v>44</v>
      </c>
      <c r="O634" s="15"/>
      <c r="P634" s="6">
        <v>40941.77679398148</v>
      </c>
      <c r="Q634" s="17" t="s">
        <v>1018</v>
      </c>
      <c r="R634" s="18" t="s">
        <v>1019</v>
      </c>
      <c r="S634" s="11" t="s">
        <v>1020</v>
      </c>
      <c r="T634" s="12"/>
      <c r="U634" s="10" t="str">
        <f>HYPERLINK("https://pbs.twimg.com/profile_images/943759769600438272/ugaMiFgJ.jpg","View")</f>
        <v>View</v>
      </c>
    </row>
    <row r="635" spans="1:21" ht="20.399999999999999">
      <c r="A635" s="6">
        <v>43427.416851851856</v>
      </c>
      <c r="B635" s="7" t="str">
        <f>HYPERLINK("https://twitter.com/AlbertoRavell","@AlbertoRavell")</f>
        <v>@AlbertoRavell</v>
      </c>
      <c r="C635" s="8" t="s">
        <v>2742</v>
      </c>
      <c r="D635" s="9" t="s">
        <v>2743</v>
      </c>
      <c r="E635" s="10" t="str">
        <f>HYPERLINK("https://twitter.com/AlbertoRavell/status/1065892778910105600","1065892778910105600")</f>
        <v>1065892778910105600</v>
      </c>
      <c r="F635" s="11" t="s">
        <v>2486</v>
      </c>
      <c r="G635" s="12"/>
      <c r="H635" s="12"/>
      <c r="I635" s="13">
        <v>3</v>
      </c>
      <c r="J635" s="13">
        <v>0</v>
      </c>
      <c r="K635" s="14" t="str">
        <f>HYPERLINK("http://twitter.com","Twitter Web Client")</f>
        <v>Twitter Web Client</v>
      </c>
      <c r="L635" s="13">
        <v>1970773</v>
      </c>
      <c r="M635" s="13">
        <v>1942</v>
      </c>
      <c r="N635" s="13">
        <v>11431</v>
      </c>
      <c r="O635" s="16" t="s">
        <v>26</v>
      </c>
      <c r="P635" s="6">
        <v>40076.99428240741</v>
      </c>
      <c r="Q635" s="17" t="s">
        <v>104</v>
      </c>
      <c r="R635" s="18" t="s">
        <v>2744</v>
      </c>
      <c r="S635" s="11" t="s">
        <v>1337</v>
      </c>
      <c r="T635" s="12"/>
      <c r="U635" s="10" t="str">
        <f>HYPERLINK("https://pbs.twimg.com/profile_images/1063852605032620032/5gvF7shw.jpg","View")</f>
        <v>View</v>
      </c>
    </row>
    <row r="636" spans="1:21" ht="40.799999999999997">
      <c r="A636" s="6">
        <v>43427.416666666672</v>
      </c>
      <c r="B636" s="7" t="str">
        <f>HYPERLINK("https://twitter.com/notimerica","@notimerica")</f>
        <v>@notimerica</v>
      </c>
      <c r="C636" s="8" t="s">
        <v>2745</v>
      </c>
      <c r="D636" s="9" t="s">
        <v>1975</v>
      </c>
      <c r="E636" s="10" t="str">
        <f>HYPERLINK("https://twitter.com/notimerica/status/1065892713839513600","1065892713839513600")</f>
        <v>1065892713839513600</v>
      </c>
      <c r="F636" s="11" t="s">
        <v>2746</v>
      </c>
      <c r="G636" s="12"/>
      <c r="H636" s="12"/>
      <c r="I636" s="13">
        <v>0</v>
      </c>
      <c r="J636" s="13">
        <v>0</v>
      </c>
      <c r="K636" s="14" t="str">
        <f t="shared" ref="K636:K637" si="106">HYPERLINK("https://about.twitter.com/products/tweetdeck","TweetDeck")</f>
        <v>TweetDeck</v>
      </c>
      <c r="L636" s="13">
        <v>10821</v>
      </c>
      <c r="M636" s="13">
        <v>920</v>
      </c>
      <c r="N636" s="13">
        <v>440</v>
      </c>
      <c r="O636" s="15"/>
      <c r="P636" s="6">
        <v>40590.54828703704</v>
      </c>
      <c r="Q636" s="12"/>
      <c r="R636" s="18" t="s">
        <v>2747</v>
      </c>
      <c r="S636" s="11" t="s">
        <v>2748</v>
      </c>
      <c r="T636" s="12"/>
      <c r="U636" s="10" t="str">
        <f>HYPERLINK("https://pbs.twimg.com/profile_images/780360009330851840/sCBoc44g.jpg","View")</f>
        <v>View</v>
      </c>
    </row>
    <row r="637" spans="1:21" ht="30.6">
      <c r="A637" s="6">
        <v>43427.416666666672</v>
      </c>
      <c r="B637" s="7" t="str">
        <f>HYPERLINK("https://twitter.com/VanityFairSpain","@VanityFairSpain")</f>
        <v>@VanityFairSpain</v>
      </c>
      <c r="C637" s="8" t="s">
        <v>1340</v>
      </c>
      <c r="D637" s="9" t="s">
        <v>2703</v>
      </c>
      <c r="E637" s="10" t="str">
        <f>HYPERLINK("https://twitter.com/VanityFairSpain/status/1065892711771779074","1065892711771779074")</f>
        <v>1065892711771779074</v>
      </c>
      <c r="F637" s="11" t="s">
        <v>1241</v>
      </c>
      <c r="G637" s="12"/>
      <c r="H637" s="12"/>
      <c r="I637" s="13">
        <v>1</v>
      </c>
      <c r="J637" s="13">
        <v>1</v>
      </c>
      <c r="K637" s="14" t="str">
        <f t="shared" si="106"/>
        <v>TweetDeck</v>
      </c>
      <c r="L637" s="13">
        <v>612527</v>
      </c>
      <c r="M637" s="13">
        <v>502</v>
      </c>
      <c r="N637" s="13">
        <v>2550</v>
      </c>
      <c r="O637" s="16" t="s">
        <v>26</v>
      </c>
      <c r="P637" s="6">
        <v>40170.488807870366</v>
      </c>
      <c r="Q637" s="17" t="s">
        <v>436</v>
      </c>
      <c r="R637" s="18" t="s">
        <v>1341</v>
      </c>
      <c r="S637" s="11" t="s">
        <v>690</v>
      </c>
      <c r="T637" s="12"/>
      <c r="U637" s="10" t="str">
        <f>HYPERLINK("https://pbs.twimg.com/profile_images/903206869275217920/-bdg4xz-.jpg","View")</f>
        <v>View</v>
      </c>
    </row>
    <row r="638" spans="1:21" ht="20.399999999999999">
      <c r="A638" s="6">
        <v>43427.415972222225</v>
      </c>
      <c r="B638" s="7" t="str">
        <f>HYPERLINK("https://twitter.com/RodrigoGomGar","@RodrigoGomGar")</f>
        <v>@RodrigoGomGar</v>
      </c>
      <c r="C638" s="8" t="s">
        <v>2749</v>
      </c>
      <c r="D638" s="9" t="s">
        <v>1115</v>
      </c>
      <c r="E638" s="10" t="str">
        <f>HYPERLINK("https://twitter.com/RodrigoGomGar/status/1065892458419101697","1065892458419101697")</f>
        <v>1065892458419101697</v>
      </c>
      <c r="F638" s="11" t="s">
        <v>1116</v>
      </c>
      <c r="G638" s="12"/>
      <c r="H638" s="12"/>
      <c r="I638" s="13">
        <v>0</v>
      </c>
      <c r="J638" s="13">
        <v>0</v>
      </c>
      <c r="K638" s="14" t="str">
        <f>HYPERLINK("http://twitter.com/download/iphone","Twitter for iPhone")</f>
        <v>Twitter for iPhone</v>
      </c>
      <c r="L638" s="13">
        <v>2136</v>
      </c>
      <c r="M638" s="13">
        <v>677</v>
      </c>
      <c r="N638" s="13">
        <v>79</v>
      </c>
      <c r="O638" s="16" t="s">
        <v>26</v>
      </c>
      <c r="P638" s="6">
        <v>41737.808576388888</v>
      </c>
      <c r="Q638" s="17" t="s">
        <v>1873</v>
      </c>
      <c r="R638" s="18" t="s">
        <v>2750</v>
      </c>
      <c r="S638" s="11" t="s">
        <v>2751</v>
      </c>
      <c r="T638" s="12"/>
      <c r="U638" s="10" t="str">
        <f>HYPERLINK("https://pbs.twimg.com/profile_images/832314531544186881/g5T8UYy_.jpg","View")</f>
        <v>View</v>
      </c>
    </row>
    <row r="639" spans="1:21" ht="51">
      <c r="A639" s="6">
        <v>43427.415752314817</v>
      </c>
      <c r="B639" s="7" t="str">
        <f t="shared" ref="B639:B640" si="107">HYPERLINK("https://twitter.com/Sevilla24H","@Sevilla24H")</f>
        <v>@Sevilla24H</v>
      </c>
      <c r="C639" s="8" t="s">
        <v>2752</v>
      </c>
      <c r="D639" s="9" t="s">
        <v>2753</v>
      </c>
      <c r="E639" s="10" t="str">
        <f>HYPERLINK("https://twitter.com/Sevilla24H/status/1065892381713752069","1065892381713752069")</f>
        <v>1065892381713752069</v>
      </c>
      <c r="F639" s="11" t="s">
        <v>2754</v>
      </c>
      <c r="G639" s="12"/>
      <c r="H639" s="12"/>
      <c r="I639" s="13">
        <v>0</v>
      </c>
      <c r="J639" s="13">
        <v>0</v>
      </c>
      <c r="K639" s="14" t="str">
        <f t="shared" ref="K639:K641" si="108">HYPERLINK("https://ifttt.com","IFTTT")</f>
        <v>IFTTT</v>
      </c>
      <c r="L639" s="13">
        <v>502</v>
      </c>
      <c r="M639" s="13">
        <v>750</v>
      </c>
      <c r="N639" s="13">
        <v>11</v>
      </c>
      <c r="O639" s="15"/>
      <c r="P639" s="6">
        <v>41294.599583333329</v>
      </c>
      <c r="Q639" s="17" t="s">
        <v>763</v>
      </c>
      <c r="R639" s="18" t="s">
        <v>2755</v>
      </c>
      <c r="S639" s="11" t="s">
        <v>2756</v>
      </c>
      <c r="T639" s="12"/>
      <c r="U639" s="10" t="str">
        <f t="shared" ref="U639:U640" si="109">HYPERLINK("https://pbs.twimg.com/profile_images/833777334108975104/fgeZLBXg.jpg","View")</f>
        <v>View</v>
      </c>
    </row>
    <row r="640" spans="1:21" ht="51">
      <c r="A640" s="6">
        <v>43427.415752314817</v>
      </c>
      <c r="B640" s="7" t="str">
        <f t="shared" si="107"/>
        <v>@Sevilla24H</v>
      </c>
      <c r="C640" s="8" t="s">
        <v>2752</v>
      </c>
      <c r="D640" s="9" t="s">
        <v>2757</v>
      </c>
      <c r="E640" s="10" t="str">
        <f>HYPERLINK("https://twitter.com/Sevilla24H/status/1065892378857402369","1065892378857402369")</f>
        <v>1065892378857402369</v>
      </c>
      <c r="F640" s="11" t="s">
        <v>2758</v>
      </c>
      <c r="G640" s="12"/>
      <c r="H640" s="12"/>
      <c r="I640" s="13">
        <v>0</v>
      </c>
      <c r="J640" s="13">
        <v>0</v>
      </c>
      <c r="K640" s="14" t="str">
        <f t="shared" si="108"/>
        <v>IFTTT</v>
      </c>
      <c r="L640" s="13">
        <v>502</v>
      </c>
      <c r="M640" s="13">
        <v>750</v>
      </c>
      <c r="N640" s="13">
        <v>11</v>
      </c>
      <c r="O640" s="15"/>
      <c r="P640" s="6">
        <v>41294.599583333329</v>
      </c>
      <c r="Q640" s="17" t="s">
        <v>763</v>
      </c>
      <c r="R640" s="18" t="s">
        <v>2755</v>
      </c>
      <c r="S640" s="11" t="s">
        <v>2756</v>
      </c>
      <c r="T640" s="12"/>
      <c r="U640" s="10" t="str">
        <f t="shared" si="109"/>
        <v>View</v>
      </c>
    </row>
    <row r="641" spans="1:21" ht="13.2">
      <c r="A641" s="6">
        <v>43427.415543981479</v>
      </c>
      <c r="B641" s="7" t="str">
        <f>HYPERLINK("https://twitter.com/RadarMaracay","@RadarMaracay")</f>
        <v>@RadarMaracay</v>
      </c>
      <c r="C641" s="8" t="s">
        <v>2759</v>
      </c>
      <c r="D641" s="9" t="s">
        <v>2760</v>
      </c>
      <c r="E641" s="10" t="str">
        <f>HYPERLINK("https://twitter.com/RadarMaracay/status/1065892304005857280","1065892304005857280")</f>
        <v>1065892304005857280</v>
      </c>
      <c r="F641" s="11" t="s">
        <v>2761</v>
      </c>
      <c r="G641" s="12"/>
      <c r="H641" s="12"/>
      <c r="I641" s="13">
        <v>0</v>
      </c>
      <c r="J641" s="13">
        <v>0</v>
      </c>
      <c r="K641" s="14" t="str">
        <f t="shared" si="108"/>
        <v>IFTTT</v>
      </c>
      <c r="L641" s="13">
        <v>414</v>
      </c>
      <c r="M641" s="13">
        <v>392</v>
      </c>
      <c r="N641" s="13">
        <v>1</v>
      </c>
      <c r="O641" s="15"/>
      <c r="P641" s="6">
        <v>42848.235775462963</v>
      </c>
      <c r="Q641" s="17" t="s">
        <v>104</v>
      </c>
      <c r="R641" s="18" t="s">
        <v>2762</v>
      </c>
      <c r="S641" s="12"/>
      <c r="T641" s="12"/>
      <c r="U641" s="10" t="str">
        <f>HYPERLINK("https://pbs.twimg.com/profile_images/873615946396651522/mpk7NGY3.jpg","View")</f>
        <v>View</v>
      </c>
    </row>
    <row r="642" spans="1:21" ht="30.6">
      <c r="A642" s="6">
        <v>43427.415462962963</v>
      </c>
      <c r="B642" s="7" t="str">
        <f>HYPERLINK("https://twitter.com/IdeasED_","@IdeasED_")</f>
        <v>@IdeasED_</v>
      </c>
      <c r="C642" s="8" t="s">
        <v>2763</v>
      </c>
      <c r="D642" s="9" t="s">
        <v>2764</v>
      </c>
      <c r="E642" s="10" t="str">
        <f>HYPERLINK("https://twitter.com/IdeasED_/status/1065892277548134400","1065892277548134400")</f>
        <v>1065892277548134400</v>
      </c>
      <c r="F642" s="11" t="s">
        <v>2765</v>
      </c>
      <c r="G642" s="12"/>
      <c r="H642" s="12"/>
      <c r="I642" s="13">
        <v>0</v>
      </c>
      <c r="J642" s="13">
        <v>0</v>
      </c>
      <c r="K642" s="14" t="str">
        <f>HYPERLINK("https://about.twitter.com/products/tweetdeck","TweetDeck")</f>
        <v>TweetDeck</v>
      </c>
      <c r="L642" s="13">
        <v>782</v>
      </c>
      <c r="M642" s="13">
        <v>12</v>
      </c>
      <c r="N642" s="13">
        <v>19</v>
      </c>
      <c r="O642" s="15"/>
      <c r="P642" s="6">
        <v>42429.776932870373</v>
      </c>
      <c r="Q642" s="17" t="s">
        <v>277</v>
      </c>
      <c r="R642" s="18" t="s">
        <v>2766</v>
      </c>
      <c r="S642" s="11" t="s">
        <v>2767</v>
      </c>
      <c r="T642" s="12"/>
      <c r="U642" s="10" t="str">
        <f>HYPERLINK("https://pbs.twimg.com/profile_images/971886946925629440/hDR8pS6b.jpg","View")</f>
        <v>View</v>
      </c>
    </row>
    <row r="643" spans="1:21" ht="20.399999999999999">
      <c r="A643" s="6">
        <v>43427.414953703701</v>
      </c>
      <c r="B643" s="7" t="str">
        <f>HYPERLINK("https://twitter.com/oscarselton","@oscarselton")</f>
        <v>@oscarselton</v>
      </c>
      <c r="C643" s="8" t="s">
        <v>2768</v>
      </c>
      <c r="D643" s="9" t="s">
        <v>2769</v>
      </c>
      <c r="E643" s="10" t="str">
        <f>HYPERLINK("https://twitter.com/oscarselton/status/1065892091711098880","1065892091711098880")</f>
        <v>1065892091711098880</v>
      </c>
      <c r="F643" s="11" t="s">
        <v>2770</v>
      </c>
      <c r="G643" s="11" t="s">
        <v>2771</v>
      </c>
      <c r="H643" s="12"/>
      <c r="I643" s="13">
        <v>0</v>
      </c>
      <c r="J643" s="13">
        <v>0</v>
      </c>
      <c r="K643" s="14" t="str">
        <f>HYPERLINK("http://twitter.com/download/android","Twitter for Android")</f>
        <v>Twitter for Android</v>
      </c>
      <c r="L643" s="13">
        <v>580</v>
      </c>
      <c r="M643" s="13">
        <v>347</v>
      </c>
      <c r="N643" s="13">
        <v>12</v>
      </c>
      <c r="O643" s="15"/>
      <c r="P643" s="6">
        <v>41237.805868055555</v>
      </c>
      <c r="Q643" s="17" t="s">
        <v>28</v>
      </c>
      <c r="R643" s="18" t="s">
        <v>2773</v>
      </c>
      <c r="S643" s="12"/>
      <c r="T643" s="12"/>
      <c r="U643" s="10" t="str">
        <f>HYPERLINK("https://pbs.twimg.com/profile_images/2893619889/91de5f36657426da396a236e54103490.jpeg","View")</f>
        <v>View</v>
      </c>
    </row>
    <row r="644" spans="1:21" ht="51">
      <c r="A644" s="6">
        <v>43427.413888888885</v>
      </c>
      <c r="B644" s="7" t="str">
        <f>HYPERLINK("https://twitter.com/goslum","@goslum")</f>
        <v>@goslum</v>
      </c>
      <c r="C644" s="8" t="s">
        <v>2775</v>
      </c>
      <c r="D644" s="9" t="s">
        <v>2776</v>
      </c>
      <c r="E644" s="10" t="str">
        <f>HYPERLINK("https://twitter.com/goslum/status/1065891703352172544","1065891703352172544")</f>
        <v>1065891703352172544</v>
      </c>
      <c r="F644" s="12"/>
      <c r="G644" s="12"/>
      <c r="H644" s="12"/>
      <c r="I644" s="13">
        <v>2</v>
      </c>
      <c r="J644" s="13">
        <v>8</v>
      </c>
      <c r="K644" s="14" t="str">
        <f t="shared" ref="K644:K645" si="110">HYPERLINK("http://twitter.com","Twitter Web Client")</f>
        <v>Twitter Web Client</v>
      </c>
      <c r="L644" s="13">
        <v>8180</v>
      </c>
      <c r="M644" s="13">
        <v>304</v>
      </c>
      <c r="N644" s="13">
        <v>93</v>
      </c>
      <c r="O644" s="15"/>
      <c r="P644" s="6">
        <v>41141.618148148147</v>
      </c>
      <c r="Q644" s="12"/>
      <c r="R644" s="27" t="s">
        <v>2777</v>
      </c>
      <c r="S644" s="12"/>
      <c r="T644" s="12"/>
      <c r="U644" s="10" t="str">
        <f>HYPERLINK("https://pbs.twimg.com/profile_images/959315561099411456/rdONeA44.jpg","View")</f>
        <v>View</v>
      </c>
    </row>
    <row r="645" spans="1:21" ht="30.6">
      <c r="A645" s="6">
        <v>43427.413287037038</v>
      </c>
      <c r="B645" s="7" t="str">
        <f>HYPERLINK("https://twitter.com/FidelDerivet","@FidelDerivet")</f>
        <v>@FidelDerivet</v>
      </c>
      <c r="C645" s="8" t="s">
        <v>2778</v>
      </c>
      <c r="D645" s="9" t="s">
        <v>2779</v>
      </c>
      <c r="E645" s="10" t="str">
        <f>HYPERLINK("https://twitter.com/FidelDerivet/status/1065891485537710081","1065891485537710081")</f>
        <v>1065891485537710081</v>
      </c>
      <c r="F645" s="11" t="s">
        <v>2780</v>
      </c>
      <c r="G645" s="12"/>
      <c r="H645" s="12"/>
      <c r="I645" s="13">
        <v>1</v>
      </c>
      <c r="J645" s="13">
        <v>1</v>
      </c>
      <c r="K645" s="14" t="str">
        <f t="shared" si="110"/>
        <v>Twitter Web Client</v>
      </c>
      <c r="L645" s="13">
        <v>1186</v>
      </c>
      <c r="M645" s="13">
        <v>1947</v>
      </c>
      <c r="N645" s="13">
        <v>8</v>
      </c>
      <c r="O645" s="15"/>
      <c r="P645" s="6">
        <v>42797.472870370373</v>
      </c>
      <c r="Q645" s="12"/>
      <c r="R645" s="18" t="s">
        <v>2781</v>
      </c>
      <c r="S645" s="12"/>
      <c r="T645" s="12"/>
      <c r="U645" s="10" t="str">
        <f>HYPERLINK("https://pbs.twimg.com/profile_images/983452300051140608/1JjIKaQx.jpg","View")</f>
        <v>View</v>
      </c>
    </row>
    <row r="646" spans="1:21" ht="40.799999999999997">
      <c r="A646" s="6">
        <v>43427.411273148144</v>
      </c>
      <c r="B646" s="7" t="str">
        <f>HYPERLINK("https://twitter.com/Javi_Barrena","@Javi_Barrena")</f>
        <v>@Javi_Barrena</v>
      </c>
      <c r="C646" s="8" t="s">
        <v>2783</v>
      </c>
      <c r="D646" s="9" t="s">
        <v>2784</v>
      </c>
      <c r="E646" s="10" t="str">
        <f>HYPERLINK("https://twitter.com/Javi_Barrena/status/1065890755678474240","1065890755678474240")</f>
        <v>1065890755678474240</v>
      </c>
      <c r="F646" s="12"/>
      <c r="G646" s="11" t="s">
        <v>2788</v>
      </c>
      <c r="H646" s="12"/>
      <c r="I646" s="13">
        <v>25</v>
      </c>
      <c r="J646" s="13">
        <v>17</v>
      </c>
      <c r="K646" s="14" t="str">
        <f>HYPERLINK("http://twitter.com/download/android","Twitter for Android")</f>
        <v>Twitter for Android</v>
      </c>
      <c r="L646" s="13">
        <v>11309</v>
      </c>
      <c r="M646" s="13">
        <v>8169</v>
      </c>
      <c r="N646" s="13">
        <v>103</v>
      </c>
      <c r="O646" s="15"/>
      <c r="P646" s="6">
        <v>41192.505543981482</v>
      </c>
      <c r="Q646" s="17" t="s">
        <v>2789</v>
      </c>
      <c r="R646" s="18" t="s">
        <v>2790</v>
      </c>
      <c r="S646" s="11" t="s">
        <v>2791</v>
      </c>
      <c r="T646" s="12"/>
      <c r="U646" s="10" t="str">
        <f>HYPERLINK("https://pbs.twimg.com/profile_images/980882579363717126/LqRFsKKm.jpg","View")</f>
        <v>View</v>
      </c>
    </row>
    <row r="647" spans="1:21" ht="30.6">
      <c r="A647" s="6">
        <v>43427.411180555559</v>
      </c>
      <c r="B647" s="7" t="str">
        <f>HYPERLINK("https://twitter.com/PEspain00","@PEspain00")</f>
        <v>@PEspain00</v>
      </c>
      <c r="C647" s="8" t="s">
        <v>2792</v>
      </c>
      <c r="D647" s="9" t="s">
        <v>2793</v>
      </c>
      <c r="E647" s="10" t="str">
        <f>HYPERLINK("https://twitter.com/PEspain00/status/1065890723315294208","1065890723315294208")</f>
        <v>1065890723315294208</v>
      </c>
      <c r="F647" s="12"/>
      <c r="G647" s="12"/>
      <c r="H647" s="12"/>
      <c r="I647" s="13">
        <v>0</v>
      </c>
      <c r="J647" s="13">
        <v>2</v>
      </c>
      <c r="K647" s="14" t="str">
        <f>HYPERLINK("http://twitter.com","Twitter Web Client")</f>
        <v>Twitter Web Client</v>
      </c>
      <c r="L647" s="13">
        <v>1373</v>
      </c>
      <c r="M647" s="13">
        <v>2985</v>
      </c>
      <c r="N647" s="13">
        <v>49</v>
      </c>
      <c r="O647" s="15"/>
      <c r="P647" s="6">
        <v>39901.969571759255</v>
      </c>
      <c r="Q647" s="12"/>
      <c r="R647" s="18" t="s">
        <v>2794</v>
      </c>
      <c r="S647" s="12"/>
      <c r="T647" s="12"/>
      <c r="U647" s="10" t="str">
        <f>HYPERLINK("https://pbs.twimg.com/profile_images/1054448853859123200/C-tizvrt.jpg","View")</f>
        <v>View</v>
      </c>
    </row>
    <row r="648" spans="1:21" ht="40.799999999999997">
      <c r="A648" s="6">
        <v>43427.410057870366</v>
      </c>
      <c r="B648" s="7" t="str">
        <f>HYPERLINK("https://twitter.com/VHC_Spanish","@VHC_Spanish")</f>
        <v>@VHC_Spanish</v>
      </c>
      <c r="C648" s="8" t="s">
        <v>2795</v>
      </c>
      <c r="D648" s="9" t="s">
        <v>2796</v>
      </c>
      <c r="E648" s="10" t="str">
        <f>HYPERLINK("https://twitter.com/VHC_Spanish/status/1065890317801525248","1065890317801525248")</f>
        <v>1065890317801525248</v>
      </c>
      <c r="F648" s="11" t="s">
        <v>2797</v>
      </c>
      <c r="G648" s="12"/>
      <c r="H648" s="12"/>
      <c r="I648" s="13">
        <v>0</v>
      </c>
      <c r="J648" s="13">
        <v>0</v>
      </c>
      <c r="K648" s="14" t="str">
        <f>HYPERLINK("http://twitter.com/download/iphone","Twitter for iPhone")</f>
        <v>Twitter for iPhone</v>
      </c>
      <c r="L648" s="13">
        <v>138</v>
      </c>
      <c r="M648" s="13">
        <v>213</v>
      </c>
      <c r="N648" s="13">
        <v>11</v>
      </c>
      <c r="O648" s="15"/>
      <c r="P648" s="6">
        <v>41446.836712962962</v>
      </c>
      <c r="Q648" s="12"/>
      <c r="R648" s="18" t="s">
        <v>2798</v>
      </c>
      <c r="S648" s="12"/>
      <c r="T648" s="12"/>
      <c r="U648" s="10" t="str">
        <f>HYPERLINK("https://pbs.twimg.com/profile_images/772375216970498049/ybIPoc6g.jpg","View")</f>
        <v>View</v>
      </c>
    </row>
    <row r="649" spans="1:21" ht="40.799999999999997">
      <c r="A649" s="6">
        <v>43427.41</v>
      </c>
      <c r="B649" s="7" t="str">
        <f>HYPERLINK("https://twitter.com/tio_chabo","@tio_chabo")</f>
        <v>@tio_chabo</v>
      </c>
      <c r="C649" s="8" t="s">
        <v>249</v>
      </c>
      <c r="D649" s="9" t="s">
        <v>2799</v>
      </c>
      <c r="E649" s="10" t="str">
        <f>HYPERLINK("https://twitter.com/tio_chabo/status/1065890294120570880","1065890294120570880")</f>
        <v>1065890294120570880</v>
      </c>
      <c r="F649" s="11" t="s">
        <v>2800</v>
      </c>
      <c r="G649" s="12"/>
      <c r="H649" s="12"/>
      <c r="I649" s="13">
        <v>0</v>
      </c>
      <c r="J649" s="13">
        <v>0</v>
      </c>
      <c r="K649" s="14" t="str">
        <f>HYPERLINK("https://ifttt.com","IFTTT")</f>
        <v>IFTTT</v>
      </c>
      <c r="L649" s="13">
        <v>3113</v>
      </c>
      <c r="M649" s="13">
        <v>3718</v>
      </c>
      <c r="N649" s="13">
        <v>68</v>
      </c>
      <c r="O649" s="15"/>
      <c r="P649" s="6">
        <v>40964.769629629627</v>
      </c>
      <c r="Q649" s="17" t="s">
        <v>252</v>
      </c>
      <c r="R649" s="18" t="s">
        <v>253</v>
      </c>
      <c r="S649" s="11" t="s">
        <v>254</v>
      </c>
      <c r="T649" s="12"/>
      <c r="U649" s="10" t="str">
        <f>HYPERLINK("https://pbs.twimg.com/profile_images/837040061870833666/XUkKbbB4.jpg","View")</f>
        <v>View</v>
      </c>
    </row>
    <row r="650" spans="1:21" ht="20.399999999999999">
      <c r="A650" s="6">
        <v>43427.409756944442</v>
      </c>
      <c r="B650" s="7" t="str">
        <f>HYPERLINK("https://twitter.com/TereRomgar","@TereRomgar")</f>
        <v>@TereRomgar</v>
      </c>
      <c r="C650" s="8" t="s">
        <v>2801</v>
      </c>
      <c r="D650" s="9" t="s">
        <v>43</v>
      </c>
      <c r="E650" s="10" t="str">
        <f>HYPERLINK("https://twitter.com/TereRomgar/status/1065890206996414464","1065890206996414464")</f>
        <v>1065890206996414464</v>
      </c>
      <c r="F650" s="11" t="s">
        <v>1317</v>
      </c>
      <c r="G650" s="12"/>
      <c r="H650" s="12"/>
      <c r="I650" s="13">
        <v>3</v>
      </c>
      <c r="J650" s="13">
        <v>1</v>
      </c>
      <c r="K650" s="14" t="str">
        <f t="shared" ref="K650:K652" si="111">HYPERLINK("http://twitter.com","Twitter Web Client")</f>
        <v>Twitter Web Client</v>
      </c>
      <c r="L650" s="13">
        <v>1493</v>
      </c>
      <c r="M650" s="13">
        <v>2060</v>
      </c>
      <c r="N650" s="13">
        <v>18</v>
      </c>
      <c r="O650" s="15"/>
      <c r="P650" s="6">
        <v>40041.572094907409</v>
      </c>
      <c r="Q650" s="12"/>
      <c r="R650" s="19"/>
      <c r="S650" s="12"/>
      <c r="T650" s="12"/>
      <c r="U650" s="10" t="str">
        <f>HYPERLINK("https://pbs.twimg.com/profile_images/1610523733/Akubra_1.jpg","View")</f>
        <v>View</v>
      </c>
    </row>
    <row r="651" spans="1:21" ht="20.399999999999999">
      <c r="A651" s="6">
        <v>43427.409513888888</v>
      </c>
      <c r="B651" s="7" t="str">
        <f>HYPERLINK("https://twitter.com/nimbus27","@nimbus27")</f>
        <v>@nimbus27</v>
      </c>
      <c r="C651" s="8" t="s">
        <v>2802</v>
      </c>
      <c r="D651" s="9" t="s">
        <v>2803</v>
      </c>
      <c r="E651" s="10" t="str">
        <f>HYPERLINK("https://twitter.com/nimbus27/status/1065890120711188480","1065890120711188480")</f>
        <v>1065890120711188480</v>
      </c>
      <c r="F651" s="11" t="s">
        <v>2804</v>
      </c>
      <c r="G651" s="12"/>
      <c r="H651" s="12"/>
      <c r="I651" s="13">
        <v>0</v>
      </c>
      <c r="J651" s="13">
        <v>0</v>
      </c>
      <c r="K651" s="14" t="str">
        <f t="shared" si="111"/>
        <v>Twitter Web Client</v>
      </c>
      <c r="L651" s="13">
        <v>466</v>
      </c>
      <c r="M651" s="13">
        <v>442</v>
      </c>
      <c r="N651" s="13">
        <v>30</v>
      </c>
      <c r="O651" s="15"/>
      <c r="P651" s="6">
        <v>40215.914513888885</v>
      </c>
      <c r="Q651" s="17" t="s">
        <v>2805</v>
      </c>
      <c r="R651" s="19"/>
      <c r="S651" s="12"/>
      <c r="T651" s="12"/>
      <c r="U651" s="10" t="str">
        <f>HYPERLINK("https://pbs.twimg.com/profile_images/670502749008732160/7Ay2KxIv.jpg","View")</f>
        <v>View</v>
      </c>
    </row>
    <row r="652" spans="1:21" ht="40.799999999999997">
      <c r="A652" s="6">
        <v>43427.408171296294</v>
      </c>
      <c r="B652" s="7" t="str">
        <f>HYPERLINK("https://twitter.com/EmpezandoDesde0","@EmpezandoDesde0")</f>
        <v>@EmpezandoDesde0</v>
      </c>
      <c r="C652" s="8" t="s">
        <v>2806</v>
      </c>
      <c r="D652" s="9" t="s">
        <v>2807</v>
      </c>
      <c r="E652" s="10" t="str">
        <f>HYPERLINK("https://twitter.com/EmpezandoDesde0/status/1065889632192274432","1065889632192274432")</f>
        <v>1065889632192274432</v>
      </c>
      <c r="F652" s="12"/>
      <c r="G652" s="11" t="s">
        <v>2808</v>
      </c>
      <c r="H652" s="12"/>
      <c r="I652" s="13">
        <v>0</v>
      </c>
      <c r="J652" s="13">
        <v>0</v>
      </c>
      <c r="K652" s="14" t="str">
        <f t="shared" si="111"/>
        <v>Twitter Web Client</v>
      </c>
      <c r="L652" s="13">
        <v>3020</v>
      </c>
      <c r="M652" s="13">
        <v>1919</v>
      </c>
      <c r="N652" s="13">
        <v>31</v>
      </c>
      <c r="O652" s="15"/>
      <c r="P652" s="6">
        <v>40839.564791666664</v>
      </c>
      <c r="Q652" s="17" t="s">
        <v>2809</v>
      </c>
      <c r="R652" s="18" t="s">
        <v>2810</v>
      </c>
      <c r="S652" s="12"/>
      <c r="T652" s="12"/>
      <c r="U652" s="10" t="str">
        <f>HYPERLINK("https://pbs.twimg.com/profile_images/1057930368991543296/HFTAt9jT.jpg","View")</f>
        <v>View</v>
      </c>
    </row>
    <row r="653" spans="1:21" ht="40.799999999999997">
      <c r="A653" s="6">
        <v>43427.408113425925</v>
      </c>
      <c r="B653" s="7" t="str">
        <f>HYPERLINK("https://twitter.com/PPopular","@PPopular")</f>
        <v>@PPopular</v>
      </c>
      <c r="C653" s="8" t="s">
        <v>2812</v>
      </c>
      <c r="D653" s="9" t="s">
        <v>2813</v>
      </c>
      <c r="E653" s="10" t="str">
        <f>HYPERLINK("https://twitter.com/PPopular/status/1065889613640720384","1065889613640720384")</f>
        <v>1065889613640720384</v>
      </c>
      <c r="F653" s="12"/>
      <c r="G653" s="11" t="s">
        <v>2043</v>
      </c>
      <c r="H653" s="12"/>
      <c r="I653" s="13">
        <v>48</v>
      </c>
      <c r="J653" s="13">
        <v>75</v>
      </c>
      <c r="K653" s="14" t="str">
        <f>HYPERLINK("http://snappytv.com","SnappyTV.com")</f>
        <v>SnappyTV.com</v>
      </c>
      <c r="L653" s="13">
        <v>675612</v>
      </c>
      <c r="M653" s="13">
        <v>4429</v>
      </c>
      <c r="N653" s="13">
        <v>4624</v>
      </c>
      <c r="O653" s="16" t="s">
        <v>26</v>
      </c>
      <c r="P653" s="6">
        <v>39854.559571759259</v>
      </c>
      <c r="Q653" s="17" t="s">
        <v>27</v>
      </c>
      <c r="R653" s="18" t="s">
        <v>2817</v>
      </c>
      <c r="S653" s="11" t="s">
        <v>2818</v>
      </c>
      <c r="T653" s="12"/>
      <c r="U653" s="10" t="str">
        <f>HYPERLINK("https://pbs.twimg.com/profile_images/1053405499130068992/J8rl56pW.jpg","View")</f>
        <v>View</v>
      </c>
    </row>
    <row r="654" spans="1:21" ht="30.6">
      <c r="A654" s="6">
        <v>43427.40788194444</v>
      </c>
      <c r="B654" s="7" t="str">
        <f>HYPERLINK("https://twitter.com/RadarApure","@RadarApure")</f>
        <v>@RadarApure</v>
      </c>
      <c r="C654" s="8" t="s">
        <v>2819</v>
      </c>
      <c r="D654" s="9" t="s">
        <v>2760</v>
      </c>
      <c r="E654" s="10" t="str">
        <f>HYPERLINK("https://twitter.com/RadarApure/status/1065889528999747584","1065889528999747584")</f>
        <v>1065889528999747584</v>
      </c>
      <c r="F654" s="11" t="s">
        <v>2761</v>
      </c>
      <c r="G654" s="12"/>
      <c r="H654" s="12"/>
      <c r="I654" s="13">
        <v>0</v>
      </c>
      <c r="J654" s="13">
        <v>0</v>
      </c>
      <c r="K654" s="14" t="str">
        <f>HYPERLINK("https://ifttt.com","IFTTT")</f>
        <v>IFTTT</v>
      </c>
      <c r="L654" s="13">
        <v>214</v>
      </c>
      <c r="M654" s="13">
        <v>187</v>
      </c>
      <c r="N654" s="13">
        <v>0</v>
      </c>
      <c r="O654" s="15"/>
      <c r="P654" s="6">
        <v>42814.196597222224</v>
      </c>
      <c r="Q654" s="17" t="s">
        <v>2820</v>
      </c>
      <c r="R654" s="18" t="s">
        <v>2821</v>
      </c>
      <c r="S654" s="12"/>
      <c r="T654" s="12"/>
      <c r="U654" s="10" t="str">
        <f>HYPERLINK("https://pbs.twimg.com/profile_images/1033946880860991488/DSNgEsbe.jpg","View")</f>
        <v>View</v>
      </c>
    </row>
    <row r="655" spans="1:21" ht="20.399999999999999">
      <c r="A655" s="6">
        <v>43427.407800925925</v>
      </c>
      <c r="B655" s="7" t="str">
        <f t="shared" ref="B655:B656" si="112">HYPERLINK("https://twitter.com/periodistadigit","@periodistadigit")</f>
        <v>@periodistadigit</v>
      </c>
      <c r="C655" s="8" t="s">
        <v>599</v>
      </c>
      <c r="D655" s="9" t="s">
        <v>2822</v>
      </c>
      <c r="E655" s="10" t="str">
        <f>HYPERLINK("https://twitter.com/periodistadigit/status/1065889499417374720","1065889499417374720")</f>
        <v>1065889499417374720</v>
      </c>
      <c r="F655" s="11" t="s">
        <v>2823</v>
      </c>
      <c r="G655" s="12"/>
      <c r="H655" s="12"/>
      <c r="I655" s="13">
        <v>2</v>
      </c>
      <c r="J655" s="13">
        <v>3</v>
      </c>
      <c r="K655" s="14" t="str">
        <f t="shared" ref="K655:K656" si="113">HYPERLINK("http://twitter.com","Twitter Web Client")</f>
        <v>Twitter Web Client</v>
      </c>
      <c r="L655" s="13">
        <v>56097</v>
      </c>
      <c r="M655" s="13">
        <v>3791</v>
      </c>
      <c r="N655" s="13">
        <v>1469</v>
      </c>
      <c r="O655" s="16" t="s">
        <v>26</v>
      </c>
      <c r="P655" s="6">
        <v>40084.916296296295</v>
      </c>
      <c r="Q655" s="17" t="s">
        <v>72</v>
      </c>
      <c r="R655" s="18" t="s">
        <v>601</v>
      </c>
      <c r="S655" s="11" t="s">
        <v>74</v>
      </c>
      <c r="T655" s="12"/>
      <c r="U655" s="10" t="str">
        <f t="shared" ref="U655:U656" si="114">HYPERLINK("https://pbs.twimg.com/profile_images/1913331873/periodista-digital.jpg","View")</f>
        <v>View</v>
      </c>
    </row>
    <row r="656" spans="1:21" ht="20.399999999999999">
      <c r="A656" s="6">
        <v>43427.407372685186</v>
      </c>
      <c r="B656" s="7" t="str">
        <f t="shared" si="112"/>
        <v>@periodistadigit</v>
      </c>
      <c r="C656" s="8" t="s">
        <v>599</v>
      </c>
      <c r="D656" s="9" t="s">
        <v>43</v>
      </c>
      <c r="E656" s="10" t="str">
        <f>HYPERLINK("https://twitter.com/periodistadigit/status/1065889344748249088","1065889344748249088")</f>
        <v>1065889344748249088</v>
      </c>
      <c r="F656" s="11" t="s">
        <v>1317</v>
      </c>
      <c r="G656" s="12"/>
      <c r="H656" s="12"/>
      <c r="I656" s="13">
        <v>3</v>
      </c>
      <c r="J656" s="13">
        <v>0</v>
      </c>
      <c r="K656" s="14" t="str">
        <f t="shared" si="113"/>
        <v>Twitter Web Client</v>
      </c>
      <c r="L656" s="13">
        <v>56097</v>
      </c>
      <c r="M656" s="13">
        <v>3791</v>
      </c>
      <c r="N656" s="13">
        <v>1469</v>
      </c>
      <c r="O656" s="16" t="s">
        <v>26</v>
      </c>
      <c r="P656" s="6">
        <v>40084.916296296295</v>
      </c>
      <c r="Q656" s="17" t="s">
        <v>72</v>
      </c>
      <c r="R656" s="18" t="s">
        <v>601</v>
      </c>
      <c r="S656" s="11" t="s">
        <v>74</v>
      </c>
      <c r="T656" s="12"/>
      <c r="U656" s="10" t="str">
        <f t="shared" si="114"/>
        <v>View</v>
      </c>
    </row>
    <row r="657" spans="1:21" ht="40.799999999999997">
      <c r="A657" s="6">
        <v>43427.406296296293</v>
      </c>
      <c r="B657" s="7" t="str">
        <f>HYPERLINK("https://twitter.com/laverdad_es","@laverdad_es")</f>
        <v>@laverdad_es</v>
      </c>
      <c r="C657" s="8" t="s">
        <v>2824</v>
      </c>
      <c r="D657" s="9" t="s">
        <v>2825</v>
      </c>
      <c r="E657" s="10" t="str">
        <f>HYPERLINK("https://twitter.com/laverdad_es/status/1065888953759424513","1065888953759424513")</f>
        <v>1065888953759424513</v>
      </c>
      <c r="F657" s="11" t="s">
        <v>2826</v>
      </c>
      <c r="G657" s="12"/>
      <c r="H657" s="12"/>
      <c r="I657" s="13">
        <v>0</v>
      </c>
      <c r="J657" s="13">
        <v>1</v>
      </c>
      <c r="K657" s="14" t="str">
        <f>HYPERLINK("https://www.hootsuite.com","Hootsuite Inc.")</f>
        <v>Hootsuite Inc.</v>
      </c>
      <c r="L657" s="13">
        <v>162857</v>
      </c>
      <c r="M657" s="13">
        <v>698</v>
      </c>
      <c r="N657" s="13">
        <v>1337</v>
      </c>
      <c r="O657" s="16" t="s">
        <v>26</v>
      </c>
      <c r="P657" s="6">
        <v>39969.670555555553</v>
      </c>
      <c r="Q657" s="17" t="s">
        <v>2827</v>
      </c>
      <c r="R657" s="18" t="s">
        <v>2828</v>
      </c>
      <c r="S657" s="11" t="s">
        <v>2829</v>
      </c>
      <c r="T657" s="12"/>
      <c r="U657" s="10" t="str">
        <f>HYPERLINK("https://pbs.twimg.com/profile_images/875635188700545024/OP4_El2C.jpg","View")</f>
        <v>View</v>
      </c>
    </row>
    <row r="658" spans="1:21" ht="20.399999999999999">
      <c r="A658" s="6">
        <v>43427.40626157407</v>
      </c>
      <c r="B658" s="7" t="str">
        <f>HYPERLINK("https://twitter.com/sextaNoticias","@sextaNoticias")</f>
        <v>@sextaNoticias</v>
      </c>
      <c r="C658" s="8" t="s">
        <v>1884</v>
      </c>
      <c r="D658" s="9" t="s">
        <v>2830</v>
      </c>
      <c r="E658" s="10" t="str">
        <f>HYPERLINK("https://twitter.com/sextaNoticias/status/1065888939381334018","1065888939381334018")</f>
        <v>1065888939381334018</v>
      </c>
      <c r="F658" s="11" t="s">
        <v>2831</v>
      </c>
      <c r="G658" s="12"/>
      <c r="H658" s="12"/>
      <c r="I658" s="13">
        <v>1</v>
      </c>
      <c r="J658" s="13">
        <v>5</v>
      </c>
      <c r="K658" s="14" t="str">
        <f>HYPERLINK("http://dogtrack.es","DogTrack_Oficial")</f>
        <v>DogTrack_Oficial</v>
      </c>
      <c r="L658" s="13">
        <v>1108910</v>
      </c>
      <c r="M658" s="13">
        <v>279</v>
      </c>
      <c r="N658" s="13">
        <v>7292</v>
      </c>
      <c r="O658" s="16" t="s">
        <v>26</v>
      </c>
      <c r="P658" s="6">
        <v>40099.614328703705</v>
      </c>
      <c r="Q658" s="12"/>
      <c r="R658" s="18" t="s">
        <v>1887</v>
      </c>
      <c r="S658" s="11" t="s">
        <v>1888</v>
      </c>
      <c r="T658" s="12"/>
      <c r="U658" s="10" t="str">
        <f>HYPERLINK("https://pbs.twimg.com/profile_images/898970208551022592/hh3ITSK-.jpg","View")</f>
        <v>View</v>
      </c>
    </row>
    <row r="659" spans="1:21" ht="20.399999999999999">
      <c r="A659" s="6">
        <v>43427.406111111108</v>
      </c>
      <c r="B659" s="7" t="str">
        <f>HYPERLINK("https://twitter.com/MartaZenner","@MartaZenner")</f>
        <v>@MartaZenner</v>
      </c>
      <c r="C659" s="8" t="s">
        <v>2832</v>
      </c>
      <c r="D659" s="9" t="s">
        <v>2833</v>
      </c>
      <c r="E659" s="10" t="str">
        <f>HYPERLINK("https://twitter.com/MartaZenner/status/1065888885174001664","1065888885174001664")</f>
        <v>1065888885174001664</v>
      </c>
      <c r="F659" s="17" t="s">
        <v>2834</v>
      </c>
      <c r="G659" s="12"/>
      <c r="H659" s="12"/>
      <c r="I659" s="13">
        <v>0</v>
      </c>
      <c r="J659" s="13">
        <v>0</v>
      </c>
      <c r="K659" s="14" t="str">
        <f>HYPERLINK("http://www.linkedin.com/","LinkedIn")</f>
        <v>LinkedIn</v>
      </c>
      <c r="L659" s="13">
        <v>249</v>
      </c>
      <c r="M659" s="13">
        <v>532</v>
      </c>
      <c r="N659" s="13">
        <v>9</v>
      </c>
      <c r="O659" s="15"/>
      <c r="P659" s="6">
        <v>40112.487256944441</v>
      </c>
      <c r="Q659" s="12"/>
      <c r="R659" s="18" t="s">
        <v>2835</v>
      </c>
      <c r="S659" s="12"/>
      <c r="T659" s="12"/>
      <c r="U659" s="10" t="str">
        <f>HYPERLINK("https://pbs.twimg.com/profile_images/726704296079839233/OvV8jw87.jpg","View")</f>
        <v>View</v>
      </c>
    </row>
    <row r="660" spans="1:21" ht="20.399999999999999">
      <c r="A660" s="6">
        <v>43427.405659722222</v>
      </c>
      <c r="B660" s="7" t="str">
        <f>HYPERLINK("https://twitter.com/Loren1321","@Loren1321")</f>
        <v>@Loren1321</v>
      </c>
      <c r="C660" s="8" t="s">
        <v>2836</v>
      </c>
      <c r="D660" s="9" t="s">
        <v>2837</v>
      </c>
      <c r="E660" s="10" t="str">
        <f>HYPERLINK("https://twitter.com/Loren1321/status/1065888723118755840","1065888723118755840")</f>
        <v>1065888723118755840</v>
      </c>
      <c r="F660" s="11" t="s">
        <v>2838</v>
      </c>
      <c r="G660" s="12"/>
      <c r="H660" s="12"/>
      <c r="I660" s="13">
        <v>0</v>
      </c>
      <c r="J660" s="13">
        <v>0</v>
      </c>
      <c r="K660" s="14" t="str">
        <f>HYPERLINK("https://www.google.com/","Google")</f>
        <v>Google</v>
      </c>
      <c r="L660" s="13">
        <v>8</v>
      </c>
      <c r="M660" s="13">
        <v>54</v>
      </c>
      <c r="N660" s="13">
        <v>6</v>
      </c>
      <c r="O660" s="15"/>
      <c r="P660" s="6">
        <v>42060.785451388889</v>
      </c>
      <c r="Q660" s="12"/>
      <c r="R660" s="18" t="s">
        <v>2839</v>
      </c>
      <c r="S660" s="12"/>
      <c r="T660" s="12"/>
      <c r="U660" s="10" t="str">
        <f>HYPERLINK("https://pbs.twimg.com/profile_images/1064580123167506442/esjbDC3U.jpg","View")</f>
        <v>View</v>
      </c>
    </row>
    <row r="661" spans="1:21" ht="20.399999999999999">
      <c r="A661" s="6">
        <v>43427.405347222222</v>
      </c>
      <c r="B661" s="7" t="str">
        <f>HYPERLINK("https://twitter.com/laquintacolumna","@laquintacolumna")</f>
        <v>@laquintacolumna</v>
      </c>
      <c r="C661" s="8" t="s">
        <v>2840</v>
      </c>
      <c r="D661" s="9" t="s">
        <v>2841</v>
      </c>
      <c r="E661" s="10" t="str">
        <f>HYPERLINK("https://twitter.com/laquintacolumna/status/1065888608983359488","1065888608983359488")</f>
        <v>1065888608983359488</v>
      </c>
      <c r="F661" s="12"/>
      <c r="G661" s="12"/>
      <c r="H661" s="12"/>
      <c r="I661" s="13">
        <v>3</v>
      </c>
      <c r="J661" s="13">
        <v>2</v>
      </c>
      <c r="K661" s="14" t="str">
        <f t="shared" ref="K661:K663" si="115">HYPERLINK("http://twitter.com/download/android","Twitter for Android")</f>
        <v>Twitter for Android</v>
      </c>
      <c r="L661" s="13">
        <v>41559</v>
      </c>
      <c r="M661" s="13">
        <v>145</v>
      </c>
      <c r="N661" s="13">
        <v>1277</v>
      </c>
      <c r="O661" s="15"/>
      <c r="P661" s="6">
        <v>39568.465937499997</v>
      </c>
      <c r="Q661" s="17" t="s">
        <v>2842</v>
      </c>
      <c r="R661" s="18" t="s">
        <v>2843</v>
      </c>
      <c r="S661" s="12"/>
      <c r="T661" s="12"/>
      <c r="U661" s="10" t="str">
        <f>HYPERLINK("https://pbs.twimg.com/profile_images/1058117934525149184/yaVFD3Ng.jpg","View")</f>
        <v>View</v>
      </c>
    </row>
    <row r="662" spans="1:21" ht="30.6">
      <c r="A662" s="6">
        <v>43427.404224537036</v>
      </c>
      <c r="B662" s="7" t="str">
        <f>HYPERLINK("https://twitter.com/Oviedocityy","@Oviedocityy")</f>
        <v>@Oviedocityy</v>
      </c>
      <c r="C662" s="8" t="s">
        <v>2844</v>
      </c>
      <c r="D662" s="9" t="s">
        <v>2845</v>
      </c>
      <c r="E662" s="10" t="str">
        <f>HYPERLINK("https://twitter.com/Oviedocityy/status/1065888204543414272","1065888204543414272")</f>
        <v>1065888204543414272</v>
      </c>
      <c r="F662" s="11" t="s">
        <v>2846</v>
      </c>
      <c r="G662" s="12"/>
      <c r="H662" s="12"/>
      <c r="I662" s="13">
        <v>4</v>
      </c>
      <c r="J662" s="13">
        <v>9</v>
      </c>
      <c r="K662" s="14" t="str">
        <f t="shared" si="115"/>
        <v>Twitter for Android</v>
      </c>
      <c r="L662" s="13">
        <v>1348</v>
      </c>
      <c r="M662" s="13">
        <v>457</v>
      </c>
      <c r="N662" s="13">
        <v>10</v>
      </c>
      <c r="O662" s="15"/>
      <c r="P662" s="6">
        <v>42597.803657407407</v>
      </c>
      <c r="Q662" s="17" t="s">
        <v>2847</v>
      </c>
      <c r="R662" s="18" t="s">
        <v>2848</v>
      </c>
      <c r="S662" s="12"/>
      <c r="T662" s="12"/>
      <c r="U662" s="10" t="str">
        <f>HYPERLINK("https://pbs.twimg.com/profile_images/1064953505666994176/nR_cA13A.jpg","View")</f>
        <v>View</v>
      </c>
    </row>
    <row r="663" spans="1:21" ht="30.6">
      <c r="A663" s="6">
        <v>43427.403391203705</v>
      </c>
      <c r="B663" s="7" t="str">
        <f>HYPERLINK("https://twitter.com/L44castilla","@L44castilla")</f>
        <v>@L44castilla</v>
      </c>
      <c r="C663" s="8" t="s">
        <v>2849</v>
      </c>
      <c r="D663" s="9" t="s">
        <v>2850</v>
      </c>
      <c r="E663" s="10" t="str">
        <f>HYPERLINK("https://twitter.com/L44castilla/status/1065887901932838912","1065887901932838912")</f>
        <v>1065887901932838912</v>
      </c>
      <c r="F663" s="11" t="s">
        <v>2851</v>
      </c>
      <c r="G663" s="12"/>
      <c r="H663" s="12"/>
      <c r="I663" s="13">
        <v>1</v>
      </c>
      <c r="J663" s="13">
        <v>1</v>
      </c>
      <c r="K663" s="14" t="str">
        <f t="shared" si="115"/>
        <v>Twitter for Android</v>
      </c>
      <c r="L663" s="13">
        <v>3389</v>
      </c>
      <c r="M663" s="13">
        <v>4884</v>
      </c>
      <c r="N663" s="13">
        <v>14</v>
      </c>
      <c r="O663" s="15"/>
      <c r="P663" s="6">
        <v>40546.666168981479</v>
      </c>
      <c r="Q663" s="12"/>
      <c r="R663" s="18" t="s">
        <v>2852</v>
      </c>
      <c r="S663" s="12"/>
      <c r="T663" s="12"/>
      <c r="U663" s="10" t="str">
        <f>HYPERLINK("https://pbs.twimg.com/profile_images/899028331714289665/Mip5yTwF.jpg","View")</f>
        <v>View</v>
      </c>
    </row>
    <row r="664" spans="1:21" ht="51">
      <c r="A664" s="6">
        <v>43427.403229166666</v>
      </c>
      <c r="B664" s="7" t="str">
        <f>HYPERLINK("https://twitter.com/jmmangas9","@jmmangas9")</f>
        <v>@jmmangas9</v>
      </c>
      <c r="C664" s="8" t="s">
        <v>2853</v>
      </c>
      <c r="D664" s="9" t="s">
        <v>2854</v>
      </c>
      <c r="E664" s="10" t="str">
        <f>HYPERLINK("https://twitter.com/jmmangas9/status/1065887842495279104","1065887842495279104")</f>
        <v>1065887842495279104</v>
      </c>
      <c r="F664" s="12"/>
      <c r="G664" s="11" t="s">
        <v>2855</v>
      </c>
      <c r="H664" s="12"/>
      <c r="I664" s="13">
        <v>0</v>
      </c>
      <c r="J664" s="13">
        <v>0</v>
      </c>
      <c r="K664" s="14" t="str">
        <f>HYPERLINK("http://twitter.com","Twitter Web Client")</f>
        <v>Twitter Web Client</v>
      </c>
      <c r="L664" s="13">
        <v>145</v>
      </c>
      <c r="M664" s="13">
        <v>600</v>
      </c>
      <c r="N664" s="13">
        <v>0</v>
      </c>
      <c r="O664" s="15"/>
      <c r="P664" s="6">
        <v>42653.805300925931</v>
      </c>
      <c r="Q664" s="12"/>
      <c r="R664" s="18" t="s">
        <v>2856</v>
      </c>
      <c r="S664" s="12"/>
      <c r="T664" s="12"/>
      <c r="U664" s="10" t="str">
        <f>HYPERLINK("https://pbs.twimg.com/profile_images/786873792169672704/t_6tcg9V.jpg","View")</f>
        <v>View</v>
      </c>
    </row>
    <row r="665" spans="1:21" ht="30.6">
      <c r="A665" s="6">
        <v>43427.403101851851</v>
      </c>
      <c r="B665" s="7" t="str">
        <f>HYPERLINK("https://twitter.com/pallaron12","@pallaron12")</f>
        <v>@pallaron12</v>
      </c>
      <c r="C665" s="8" t="s">
        <v>2284</v>
      </c>
      <c r="D665" s="9" t="s">
        <v>1143</v>
      </c>
      <c r="E665" s="10" t="str">
        <f>HYPERLINK("https://twitter.com/pallaron12/status/1065887796672516098","1065887796672516098")</f>
        <v>1065887796672516098</v>
      </c>
      <c r="F665" s="11" t="s">
        <v>2857</v>
      </c>
      <c r="G665" s="12"/>
      <c r="H665" s="12"/>
      <c r="I665" s="13">
        <v>1</v>
      </c>
      <c r="J665" s="13">
        <v>1</v>
      </c>
      <c r="K665" s="14" t="str">
        <f>HYPERLINK("http://twitter.com/download/android","Twitter for Android")</f>
        <v>Twitter for Android</v>
      </c>
      <c r="L665" s="13">
        <v>1412</v>
      </c>
      <c r="M665" s="13">
        <v>501</v>
      </c>
      <c r="N665" s="13">
        <v>8</v>
      </c>
      <c r="O665" s="15"/>
      <c r="P665" s="6">
        <v>41854.66134259259</v>
      </c>
      <c r="Q665" s="17" t="s">
        <v>2285</v>
      </c>
      <c r="R665" s="18" t="s">
        <v>2286</v>
      </c>
      <c r="S665" s="12"/>
      <c r="T665" s="12"/>
      <c r="U665" s="10" t="str">
        <f>HYPERLINK("https://pbs.twimg.com/profile_images/1064713832633896961/NkwZ7D9D.jpg","View")</f>
        <v>View</v>
      </c>
    </row>
    <row r="666" spans="1:21" ht="30.6">
      <c r="A666" s="6">
        <v>43427.402847222227</v>
      </c>
      <c r="B666" s="7" t="str">
        <f>HYPERLINK("https://twitter.com/CeNewsEs","@CeNewsEs")</f>
        <v>@CeNewsEs</v>
      </c>
      <c r="C666" s="8" t="s">
        <v>2858</v>
      </c>
      <c r="D666" s="9" t="s">
        <v>2859</v>
      </c>
      <c r="E666" s="10" t="str">
        <f>HYPERLINK("https://twitter.com/CeNewsEs/status/1065887705953968128","1065887705953968128")</f>
        <v>1065887705953968128</v>
      </c>
      <c r="F666" s="11" t="s">
        <v>2860</v>
      </c>
      <c r="G666" s="11" t="s">
        <v>2861</v>
      </c>
      <c r="H666" s="12"/>
      <c r="I666" s="13">
        <v>0</v>
      </c>
      <c r="J666" s="13">
        <v>0</v>
      </c>
      <c r="K666" s="14" t="str">
        <f>HYPERLINK("http://publicize.wp.com/","WordPress.com")</f>
        <v>WordPress.com</v>
      </c>
      <c r="L666" s="13">
        <v>11</v>
      </c>
      <c r="M666" s="13">
        <v>21</v>
      </c>
      <c r="N666" s="13">
        <v>0</v>
      </c>
      <c r="O666" s="15"/>
      <c r="P666" s="6">
        <v>43399.400324074071</v>
      </c>
      <c r="Q666" s="17" t="s">
        <v>2862</v>
      </c>
      <c r="R666" s="18" t="s">
        <v>2863</v>
      </c>
      <c r="S666" s="12"/>
      <c r="T666" s="12"/>
      <c r="U666" s="10" t="str">
        <f>HYPERLINK("https://pbs.twimg.com/profile_images/1055725104297058304/j_tfrBV8.png","View")</f>
        <v>View</v>
      </c>
    </row>
    <row r="667" spans="1:21" ht="40.799999999999997">
      <c r="A667" s="6">
        <v>43427.402627314819</v>
      </c>
      <c r="B667" s="7" t="str">
        <f>HYPERLINK("https://twitter.com/_Gafas_y_reloj_","@_Gafas_y_reloj_")</f>
        <v>@_Gafas_y_reloj_</v>
      </c>
      <c r="C667" s="8" t="s">
        <v>2864</v>
      </c>
      <c r="D667" s="9" t="s">
        <v>2865</v>
      </c>
      <c r="E667" s="10" t="str">
        <f>HYPERLINK("https://twitter.com/_Gafas_y_reloj_/status/1065887625331048448","1065887625331048448")</f>
        <v>1065887625331048448</v>
      </c>
      <c r="F667" s="12"/>
      <c r="G667" s="11" t="s">
        <v>2866</v>
      </c>
      <c r="H667" s="12"/>
      <c r="I667" s="13">
        <v>17</v>
      </c>
      <c r="J667" s="13">
        <v>26</v>
      </c>
      <c r="K667" s="14" t="str">
        <f>HYPERLINK("http://twitter.com","Twitter Web Client")</f>
        <v>Twitter Web Client</v>
      </c>
      <c r="L667" s="13">
        <v>11846</v>
      </c>
      <c r="M667" s="13">
        <v>712</v>
      </c>
      <c r="N667" s="13">
        <v>193</v>
      </c>
      <c r="O667" s="15"/>
      <c r="P667" s="6">
        <v>40803.430173611108</v>
      </c>
      <c r="Q667" s="17" t="s">
        <v>2867</v>
      </c>
      <c r="R667" s="18" t="s">
        <v>2868</v>
      </c>
      <c r="S667" s="12"/>
      <c r="T667" s="12"/>
      <c r="U667" s="10" t="str">
        <f>HYPERLINK("https://pbs.twimg.com/profile_images/923940667965038593/LEd9tLut.jpg","View")</f>
        <v>View</v>
      </c>
    </row>
    <row r="668" spans="1:21" ht="102">
      <c r="A668" s="6">
        <v>43427.402002314819</v>
      </c>
      <c r="B668" s="7" t="str">
        <f>HYPERLINK("https://twitter.com/MPMorilloRocha","@MPMorilloRocha")</f>
        <v>@MPMorilloRocha</v>
      </c>
      <c r="C668" s="8" t="s">
        <v>2869</v>
      </c>
      <c r="D668" s="9" t="s">
        <v>2870</v>
      </c>
      <c r="E668" s="10" t="str">
        <f>HYPERLINK("https://twitter.com/MPMorilloRocha/status/1065887395722211329","1065887395722211329")</f>
        <v>1065887395722211329</v>
      </c>
      <c r="F668" s="11" t="s">
        <v>2871</v>
      </c>
      <c r="G668" s="12"/>
      <c r="H668" s="12"/>
      <c r="I668" s="13">
        <v>15</v>
      </c>
      <c r="J668" s="13">
        <v>14</v>
      </c>
      <c r="K668" s="14" t="str">
        <f t="shared" ref="K668:K669" si="116">HYPERLINK("http://twitter.com/download/iphone","Twitter for iPhone")</f>
        <v>Twitter for iPhone</v>
      </c>
      <c r="L668" s="13">
        <v>2751</v>
      </c>
      <c r="M668" s="13">
        <v>5001</v>
      </c>
      <c r="N668" s="13">
        <v>34</v>
      </c>
      <c r="O668" s="15"/>
      <c r="P668" s="6">
        <v>40433.696481481486</v>
      </c>
      <c r="Q668" s="17" t="s">
        <v>28</v>
      </c>
      <c r="R668" s="18" t="s">
        <v>2872</v>
      </c>
      <c r="S668" s="11" t="s">
        <v>2873</v>
      </c>
      <c r="T668" s="12"/>
      <c r="U668" s="10" t="str">
        <f>HYPERLINK("https://pbs.twimg.com/profile_images/1122349030/IMG000091__1_.jpg","View")</f>
        <v>View</v>
      </c>
    </row>
    <row r="669" spans="1:21" ht="40.799999999999997">
      <c r="A669" s="6">
        <v>43427.401643518519</v>
      </c>
      <c r="B669" s="7" t="str">
        <f>HYPERLINK("https://twitter.com/J_Gonzalez_Ca","@J_Gonzalez_Ca")</f>
        <v>@J_Gonzalez_Ca</v>
      </c>
      <c r="C669" s="8" t="s">
        <v>2874</v>
      </c>
      <c r="D669" s="9" t="s">
        <v>2875</v>
      </c>
      <c r="E669" s="10" t="str">
        <f>HYPERLINK("https://twitter.com/J_Gonzalez_Ca/status/1065887269066805248","1065887269066805248")</f>
        <v>1065887269066805248</v>
      </c>
      <c r="F669" s="11" t="s">
        <v>2876</v>
      </c>
      <c r="G669" s="12"/>
      <c r="H669" s="12"/>
      <c r="I669" s="13">
        <v>0</v>
      </c>
      <c r="J669" s="13">
        <v>0</v>
      </c>
      <c r="K669" s="14" t="str">
        <f t="shared" si="116"/>
        <v>Twitter for iPhone</v>
      </c>
      <c r="L669" s="13">
        <v>165</v>
      </c>
      <c r="M669" s="13">
        <v>419</v>
      </c>
      <c r="N669" s="13">
        <v>3</v>
      </c>
      <c r="O669" s="15"/>
      <c r="P669" s="6">
        <v>41336.44295138889</v>
      </c>
      <c r="Q669" s="17" t="s">
        <v>2878</v>
      </c>
      <c r="R669" s="18" t="s">
        <v>2879</v>
      </c>
      <c r="S669" s="12"/>
      <c r="T669" s="12"/>
      <c r="U669" s="10" t="str">
        <f>HYPERLINK("https://pbs.twimg.com/profile_images/3332308629/979eee489a001adf427ad901374700f6.jpeg","View")</f>
        <v>View</v>
      </c>
    </row>
    <row r="670" spans="1:21" ht="40.799999999999997">
      <c r="A670" s="6">
        <v>43427.401631944449</v>
      </c>
      <c r="B670" s="7" t="str">
        <f>HYPERLINK("https://twitter.com/europapress_tv","@europapress_tv")</f>
        <v>@europapress_tv</v>
      </c>
      <c r="C670" s="8" t="s">
        <v>2880</v>
      </c>
      <c r="D670" s="9" t="s">
        <v>2833</v>
      </c>
      <c r="E670" s="10" t="str">
        <f>HYPERLINK("https://twitter.com/europapress_tv/status/1065887264046284800","1065887264046284800")</f>
        <v>1065887264046284800</v>
      </c>
      <c r="F670" s="11" t="s">
        <v>2881</v>
      </c>
      <c r="G670" s="11" t="s">
        <v>2882</v>
      </c>
      <c r="H670" s="12"/>
      <c r="I670" s="13">
        <v>1</v>
      </c>
      <c r="J670" s="13">
        <v>0</v>
      </c>
      <c r="K670" s="14" t="str">
        <f>HYPERLINK("https://studio.twitter.com","Media Studio")</f>
        <v>Media Studio</v>
      </c>
      <c r="L670" s="13">
        <v>10431</v>
      </c>
      <c r="M670" s="13">
        <v>447</v>
      </c>
      <c r="N670" s="13">
        <v>229</v>
      </c>
      <c r="O670" s="16" t="s">
        <v>26</v>
      </c>
      <c r="P670" s="6">
        <v>41087.506342592591</v>
      </c>
      <c r="Q670" s="17" t="s">
        <v>28</v>
      </c>
      <c r="R670" s="18" t="s">
        <v>2886</v>
      </c>
      <c r="S670" s="11" t="s">
        <v>2887</v>
      </c>
      <c r="T670" s="12"/>
      <c r="U670" s="10" t="str">
        <f>HYPERLINK("https://pbs.twimg.com/profile_images/520566141542887424/kS5nICev.jpeg","View")</f>
        <v>View</v>
      </c>
    </row>
    <row r="671" spans="1:21" ht="61.2">
      <c r="A671" s="6">
        <v>43427.401493055557</v>
      </c>
      <c r="B671" s="7" t="str">
        <f>HYPERLINK("https://twitter.com/LasMananas_rne","@LasMananas_rne")</f>
        <v>@LasMananas_rne</v>
      </c>
      <c r="C671" s="8" t="s">
        <v>2888</v>
      </c>
      <c r="D671" s="9" t="s">
        <v>2889</v>
      </c>
      <c r="E671" s="10" t="str">
        <f>HYPERLINK("https://twitter.com/LasMananas_rne/status/1065887214146592768","1065887214146592768")</f>
        <v>1065887214146592768</v>
      </c>
      <c r="F671" s="12"/>
      <c r="G671" s="11" t="s">
        <v>2890</v>
      </c>
      <c r="H671" s="12"/>
      <c r="I671" s="13">
        <v>1</v>
      </c>
      <c r="J671" s="13">
        <v>0</v>
      </c>
      <c r="K671" s="14" t="str">
        <f>HYPERLINK("https://about.twitter.com/products/tweetdeck","TweetDeck")</f>
        <v>TweetDeck</v>
      </c>
      <c r="L671" s="13">
        <v>17786</v>
      </c>
      <c r="M671" s="13">
        <v>577</v>
      </c>
      <c r="N671" s="13">
        <v>322</v>
      </c>
      <c r="O671" s="15"/>
      <c r="P671" s="6">
        <v>41516.791238425925</v>
      </c>
      <c r="Q671" s="17" t="s">
        <v>72</v>
      </c>
      <c r="R671" s="18" t="s">
        <v>2891</v>
      </c>
      <c r="S671" s="11" t="s">
        <v>2892</v>
      </c>
      <c r="T671" s="12"/>
      <c r="U671" s="10" t="str">
        <f>HYPERLINK("https://pbs.twimg.com/profile_images/1040196438595129346/t62gpiGh.jpg","View")</f>
        <v>View</v>
      </c>
    </row>
    <row r="672" spans="1:21" ht="40.799999999999997">
      <c r="A672" s="6">
        <v>43427.400891203702</v>
      </c>
      <c r="B672" s="7" t="str">
        <f>HYPERLINK("https://twitter.com/VecinosMaracay","@VecinosMaracay")</f>
        <v>@VecinosMaracay</v>
      </c>
      <c r="C672" s="8" t="s">
        <v>2893</v>
      </c>
      <c r="D672" s="9" t="s">
        <v>2760</v>
      </c>
      <c r="E672" s="10" t="str">
        <f>HYPERLINK("https://twitter.com/VecinosMaracay/status/1065886996084768768","1065886996084768768")</f>
        <v>1065886996084768768</v>
      </c>
      <c r="F672" s="11" t="s">
        <v>2761</v>
      </c>
      <c r="G672" s="12"/>
      <c r="H672" s="12"/>
      <c r="I672" s="13">
        <v>0</v>
      </c>
      <c r="J672" s="13">
        <v>0</v>
      </c>
      <c r="K672" s="14" t="str">
        <f>HYPERLINK("https://ifttt.com","IFTTT")</f>
        <v>IFTTT</v>
      </c>
      <c r="L672" s="13">
        <v>199</v>
      </c>
      <c r="M672" s="13">
        <v>184</v>
      </c>
      <c r="N672" s="13">
        <v>0</v>
      </c>
      <c r="O672" s="15"/>
      <c r="P672" s="6">
        <v>42904.754421296297</v>
      </c>
      <c r="Q672" s="17" t="s">
        <v>2894</v>
      </c>
      <c r="R672" s="18" t="s">
        <v>2895</v>
      </c>
      <c r="S672" s="12"/>
      <c r="T672" s="12"/>
      <c r="U672" s="10" t="str">
        <f>HYPERLINK("https://pbs.twimg.com/profile_images/876490894387621888/UhudJGM_.jpg","View")</f>
        <v>View</v>
      </c>
    </row>
    <row r="673" spans="1:21" ht="20.399999999999999">
      <c r="A673" s="6">
        <v>43427.399699074071</v>
      </c>
      <c r="B673" s="7" t="str">
        <f>HYPERLINK("https://twitter.com/josesebari","@josesebari")</f>
        <v>@josesebari</v>
      </c>
      <c r="C673" s="8" t="s">
        <v>2896</v>
      </c>
      <c r="D673" s="9" t="s">
        <v>2897</v>
      </c>
      <c r="E673" s="10" t="str">
        <f>HYPERLINK("https://twitter.com/josesebari/status/1065886563995983873","1065886563995983873")</f>
        <v>1065886563995983873</v>
      </c>
      <c r="F673" s="12"/>
      <c r="G673" s="12"/>
      <c r="H673" s="12"/>
      <c r="I673" s="13">
        <v>0</v>
      </c>
      <c r="J673" s="13">
        <v>0</v>
      </c>
      <c r="K673" s="14" t="str">
        <f>HYPERLINK("http://www.facebook.com/twitter","Facebook")</f>
        <v>Facebook</v>
      </c>
      <c r="L673" s="13">
        <v>26</v>
      </c>
      <c r="M673" s="13">
        <v>98</v>
      </c>
      <c r="N673" s="13">
        <v>2</v>
      </c>
      <c r="O673" s="15"/>
      <c r="P673" s="6">
        <v>40680.956932870373</v>
      </c>
      <c r="Q673" s="17" t="s">
        <v>2898</v>
      </c>
      <c r="R673" s="18" t="s">
        <v>2899</v>
      </c>
      <c r="S673" s="12"/>
      <c r="T673" s="12"/>
      <c r="U673" s="10" t="str">
        <f>HYPERLINK("https://pbs.twimg.com/profile_images/939220922287960064/EFX0PZHa.jpg","View")</f>
        <v>View</v>
      </c>
    </row>
    <row r="674" spans="1:21" ht="40.799999999999997">
      <c r="A674" s="6">
        <v>43427.399375000001</v>
      </c>
      <c r="B674" s="7" t="str">
        <f>HYPERLINK("https://twitter.com/lextresabogados","@lextresabogados")</f>
        <v>@lextresabogados</v>
      </c>
      <c r="C674" s="8" t="s">
        <v>807</v>
      </c>
      <c r="D674" s="9" t="s">
        <v>2900</v>
      </c>
      <c r="E674" s="10" t="str">
        <f>HYPERLINK("https://twitter.com/lextresabogados/status/1065886444617646080","1065886444617646080")</f>
        <v>1065886444617646080</v>
      </c>
      <c r="F674" s="11" t="s">
        <v>2901</v>
      </c>
      <c r="G674" s="12"/>
      <c r="H674" s="12"/>
      <c r="I674" s="13">
        <v>0</v>
      </c>
      <c r="J674" s="13">
        <v>0</v>
      </c>
      <c r="K674" s="14" t="str">
        <f>HYPERLINK("http://35.180.36.179","botize nueva")</f>
        <v>botize nueva</v>
      </c>
      <c r="L674" s="13">
        <v>2229</v>
      </c>
      <c r="M674" s="13">
        <v>3277</v>
      </c>
      <c r="N674" s="13">
        <v>22</v>
      </c>
      <c r="O674" s="15"/>
      <c r="P674" s="6">
        <v>42880.770949074074</v>
      </c>
      <c r="Q674" s="17" t="s">
        <v>810</v>
      </c>
      <c r="R674" s="18" t="s">
        <v>811</v>
      </c>
      <c r="S674" s="11" t="s">
        <v>812</v>
      </c>
      <c r="T674" s="12"/>
      <c r="U674" s="10" t="str">
        <f>HYPERLINK("https://pbs.twimg.com/profile_images/1058352229546164224/xnNCczNu.jpg","View")</f>
        <v>View</v>
      </c>
    </row>
    <row r="675" spans="1:21" ht="40.799999999999997">
      <c r="A675" s="6">
        <v>43427.399340277778</v>
      </c>
      <c r="B675" s="7" t="str">
        <f>HYPERLINK("https://twitter.com/MHP_ES","@MHP_ES")</f>
        <v>@MHP_ES</v>
      </c>
      <c r="C675" s="8" t="s">
        <v>2902</v>
      </c>
      <c r="D675" s="9" t="s">
        <v>2903</v>
      </c>
      <c r="E675" s="10" t="str">
        <f>HYPERLINK("https://twitter.com/MHP_ES/status/1065886434836533248","1065886434836533248")</f>
        <v>1065886434836533248</v>
      </c>
      <c r="F675" s="11" t="s">
        <v>2904</v>
      </c>
      <c r="G675" s="12"/>
      <c r="H675" s="12"/>
      <c r="I675" s="13">
        <v>1</v>
      </c>
      <c r="J675" s="13">
        <v>1</v>
      </c>
      <c r="K675" s="14" t="str">
        <f>HYPERLINK("https://www.hootsuite.com","Hootsuite Inc.")</f>
        <v>Hootsuite Inc.</v>
      </c>
      <c r="L675" s="13">
        <v>1061</v>
      </c>
      <c r="M675" s="13">
        <v>959</v>
      </c>
      <c r="N675" s="13">
        <v>97</v>
      </c>
      <c r="O675" s="15"/>
      <c r="P675" s="6">
        <v>40884.780381944445</v>
      </c>
      <c r="Q675" s="17" t="s">
        <v>28</v>
      </c>
      <c r="R675" s="18" t="s">
        <v>2905</v>
      </c>
      <c r="S675" s="11" t="s">
        <v>2906</v>
      </c>
      <c r="T675" s="12"/>
      <c r="U675" s="10" t="str">
        <f>HYPERLINK("https://pbs.twimg.com/profile_images/960427756252270592/L6dDAxbs.jpg","View")</f>
        <v>View</v>
      </c>
    </row>
    <row r="676" spans="1:21" ht="30.6">
      <c r="A676" s="6">
        <v>43427.399224537032</v>
      </c>
      <c r="B676" s="7" t="str">
        <f>HYPERLINK("https://twitter.com/LaVanguardia","@LaVanguardia")</f>
        <v>@LaVanguardia</v>
      </c>
      <c r="C676" s="8" t="s">
        <v>2907</v>
      </c>
      <c r="D676" s="9" t="s">
        <v>2900</v>
      </c>
      <c r="E676" s="10" t="str">
        <f>HYPERLINK("https://twitter.com/LaVanguardia/status/1065886389605154817","1065886389605154817")</f>
        <v>1065886389605154817</v>
      </c>
      <c r="F676" s="11" t="s">
        <v>2901</v>
      </c>
      <c r="G676" s="12"/>
      <c r="H676" s="12"/>
      <c r="I676" s="13">
        <v>10</v>
      </c>
      <c r="J676" s="13">
        <v>13</v>
      </c>
      <c r="K676" s="14" t="str">
        <f>HYPERLINK("http://www.lavanguardia.es","App publicación twits DGRID")</f>
        <v>App publicación twits DGRID</v>
      </c>
      <c r="L676" s="13">
        <v>997177</v>
      </c>
      <c r="M676" s="13">
        <v>523</v>
      </c>
      <c r="N676" s="13">
        <v>12535</v>
      </c>
      <c r="O676" s="16" t="s">
        <v>26</v>
      </c>
      <c r="P676" s="6">
        <v>40071.664548611108</v>
      </c>
      <c r="Q676" s="17" t="s">
        <v>191</v>
      </c>
      <c r="R676" s="18" t="s">
        <v>2908</v>
      </c>
      <c r="S676" s="11" t="s">
        <v>2909</v>
      </c>
      <c r="T676" s="12"/>
      <c r="U676" s="10" t="str">
        <f>HYPERLINK("https://pbs.twimg.com/profile_images/936873783721320448/6Q97S0pp.jpg","View")</f>
        <v>View</v>
      </c>
    </row>
    <row r="677" spans="1:21" ht="40.799999999999997">
      <c r="A677" s="6">
        <v>43427.399016203708</v>
      </c>
      <c r="B677" s="7" t="str">
        <f>HYPERLINK("https://twitter.com/elpce","@elpce")</f>
        <v>@elpce</v>
      </c>
      <c r="C677" s="8" t="s">
        <v>2910</v>
      </c>
      <c r="D677" s="9" t="s">
        <v>2911</v>
      </c>
      <c r="E677" s="10" t="str">
        <f>HYPERLINK("https://twitter.com/elpce/status/1065886315407990784","1065886315407990784")</f>
        <v>1065886315407990784</v>
      </c>
      <c r="F677" s="11" t="s">
        <v>2912</v>
      </c>
      <c r="G677" s="12"/>
      <c r="H677" s="12"/>
      <c r="I677" s="13">
        <v>24</v>
      </c>
      <c r="J677" s="13">
        <v>39</v>
      </c>
      <c r="K677" s="14" t="str">
        <f>HYPERLINK("http://twitter.com","Twitter Web Client")</f>
        <v>Twitter Web Client</v>
      </c>
      <c r="L677" s="13">
        <v>52852</v>
      </c>
      <c r="M677" s="13">
        <v>360</v>
      </c>
      <c r="N677" s="13">
        <v>669</v>
      </c>
      <c r="O677" s="15"/>
      <c r="P677" s="6">
        <v>39724.75949074074</v>
      </c>
      <c r="Q677" s="17" t="s">
        <v>28</v>
      </c>
      <c r="R677" s="18" t="s">
        <v>2913</v>
      </c>
      <c r="S677" s="11" t="s">
        <v>2914</v>
      </c>
      <c r="T677" s="12"/>
      <c r="U677" s="10" t="str">
        <f>HYPERLINK("https://pbs.twimg.com/profile_images/982988414873231361/PiI7xvLK.jpg","View")</f>
        <v>View</v>
      </c>
    </row>
    <row r="678" spans="1:21" ht="51">
      <c r="A678" s="6">
        <v>43427.398344907408</v>
      </c>
      <c r="B678" s="7" t="str">
        <f>HYPERLINK("https://twitter.com/LangreoUB","@LangreoUB")</f>
        <v>@LangreoUB</v>
      </c>
      <c r="C678" s="8" t="s">
        <v>2915</v>
      </c>
      <c r="D678" s="9" t="s">
        <v>2916</v>
      </c>
      <c r="E678" s="10" t="str">
        <f>HYPERLINK("https://twitter.com/LangreoUB/status/1065886072436076547","1065886072436076547")</f>
        <v>1065886072436076547</v>
      </c>
      <c r="F678" s="12"/>
      <c r="G678" s="11" t="s">
        <v>2917</v>
      </c>
      <c r="H678" s="12"/>
      <c r="I678" s="13">
        <v>4</v>
      </c>
      <c r="J678" s="13">
        <v>6</v>
      </c>
      <c r="K678" s="14" t="str">
        <f t="shared" ref="K678:K679" si="117">HYPERLINK("http://twitter.com/download/android","Twitter for Android")</f>
        <v>Twitter for Android</v>
      </c>
      <c r="L678" s="13">
        <v>272</v>
      </c>
      <c r="M678" s="13">
        <v>4</v>
      </c>
      <c r="N678" s="13">
        <v>1</v>
      </c>
      <c r="O678" s="15"/>
      <c r="P678" s="6">
        <v>43404.417395833334</v>
      </c>
      <c r="Q678" s="17" t="s">
        <v>2150</v>
      </c>
      <c r="R678" s="18" t="s">
        <v>2918</v>
      </c>
      <c r="S678" s="12"/>
      <c r="T678" s="12"/>
      <c r="U678" s="10" t="str">
        <f>HYPERLINK("https://pbs.twimg.com/profile_images/1064480912090587137/hPKTAtWi.jpg","View")</f>
        <v>View</v>
      </c>
    </row>
    <row r="679" spans="1:21" ht="51">
      <c r="A679" s="6">
        <v>43427.397893518515</v>
      </c>
      <c r="B679" s="7" t="str">
        <f>HYPERLINK("https://twitter.com/hijodeiberia1","@hijodeiberia1")</f>
        <v>@hijodeiberia1</v>
      </c>
      <c r="C679" s="8" t="s">
        <v>2919</v>
      </c>
      <c r="D679" s="9" t="s">
        <v>2920</v>
      </c>
      <c r="E679" s="10" t="str">
        <f>HYPERLINK("https://twitter.com/hijodeiberia1/status/1065885907910316032","1065885907910316032")</f>
        <v>1065885907910316032</v>
      </c>
      <c r="F679" s="12"/>
      <c r="G679" s="12"/>
      <c r="H679" s="12"/>
      <c r="I679" s="13">
        <v>0</v>
      </c>
      <c r="J679" s="13">
        <v>0</v>
      </c>
      <c r="K679" s="14" t="str">
        <f t="shared" si="117"/>
        <v>Twitter for Android</v>
      </c>
      <c r="L679" s="13">
        <v>35</v>
      </c>
      <c r="M679" s="13">
        <v>125</v>
      </c>
      <c r="N679" s="13">
        <v>0</v>
      </c>
      <c r="O679" s="15"/>
      <c r="P679" s="6">
        <v>43402.934293981481</v>
      </c>
      <c r="Q679" s="12"/>
      <c r="R679" s="18" t="s">
        <v>2921</v>
      </c>
      <c r="S679" s="12"/>
      <c r="T679" s="12"/>
      <c r="U679" s="10" t="str">
        <f>HYPERLINK("https://pbs.twimg.com/profile_images/1057022978842603524/JfueGJMd.jpg","View")</f>
        <v>View</v>
      </c>
    </row>
    <row r="680" spans="1:21" ht="61.2">
      <c r="A680" s="6">
        <v>43427.397858796292</v>
      </c>
      <c r="B680" s="7" t="str">
        <f>HYPERLINK("https://twitter.com/marianofake","@marianofake")</f>
        <v>@marianofake</v>
      </c>
      <c r="C680" s="8" t="s">
        <v>2922</v>
      </c>
      <c r="D680" s="9" t="s">
        <v>2923</v>
      </c>
      <c r="E680" s="10" t="str">
        <f>HYPERLINK("https://twitter.com/marianofake/status/1065885896606650368","1065885896606650368")</f>
        <v>1065885896606650368</v>
      </c>
      <c r="F680" s="11" t="s">
        <v>120</v>
      </c>
      <c r="G680" s="12"/>
      <c r="H680" s="12"/>
      <c r="I680" s="13">
        <v>2</v>
      </c>
      <c r="J680" s="13">
        <v>2</v>
      </c>
      <c r="K680" s="14" t="str">
        <f>HYPERLINK("http://twitter.com","Twitter Web Client")</f>
        <v>Twitter Web Client</v>
      </c>
      <c r="L680" s="13">
        <v>6041</v>
      </c>
      <c r="M680" s="13">
        <v>3163</v>
      </c>
      <c r="N680" s="13">
        <v>19</v>
      </c>
      <c r="O680" s="15"/>
      <c r="P680" s="6">
        <v>42101.675752314812</v>
      </c>
      <c r="Q680" s="12"/>
      <c r="R680" s="18" t="s">
        <v>2924</v>
      </c>
      <c r="S680" s="12"/>
      <c r="T680" s="12"/>
      <c r="U680" s="10" t="str">
        <f>HYPERLINK("https://pbs.twimg.com/profile_images/865123852795367424/p4pK2M21.jpg","View")</f>
        <v>View</v>
      </c>
    </row>
    <row r="681" spans="1:21" ht="40.799999999999997">
      <c r="A681" s="6">
        <v>43427.397847222222</v>
      </c>
      <c r="B681" s="7" t="str">
        <f>HYPERLINK("https://twitter.com/ecd_","@ecd_")</f>
        <v>@ecd_</v>
      </c>
      <c r="C681" s="8" t="s">
        <v>2925</v>
      </c>
      <c r="D681" s="9" t="s">
        <v>2926</v>
      </c>
      <c r="E681" s="10" t="str">
        <f>HYPERLINK("https://twitter.com/ecd_/status/1065885892240441344","1065885892240441344")</f>
        <v>1065885892240441344</v>
      </c>
      <c r="F681" s="11" t="s">
        <v>2927</v>
      </c>
      <c r="G681" s="12"/>
      <c r="H681" s="12"/>
      <c r="I681" s="13">
        <v>0</v>
      </c>
      <c r="J681" s="13">
        <v>0</v>
      </c>
      <c r="K681" s="14" t="str">
        <f>HYPERLINK("http://dogtrack.es","DogTrack_Oficial")</f>
        <v>DogTrack_Oficial</v>
      </c>
      <c r="L681" s="13">
        <v>88323</v>
      </c>
      <c r="M681" s="13">
        <v>362</v>
      </c>
      <c r="N681" s="13">
        <v>2646</v>
      </c>
      <c r="O681" s="15"/>
      <c r="P681" s="6">
        <v>39931.730115740742</v>
      </c>
      <c r="Q681" s="28" t="s">
        <v>2929</v>
      </c>
      <c r="R681" s="18" t="s">
        <v>2930</v>
      </c>
      <c r="S681" s="11" t="s">
        <v>2931</v>
      </c>
      <c r="T681" s="12"/>
      <c r="U681" s="10" t="str">
        <f>HYPERLINK("https://pbs.twimg.com/profile_images/720595850238554113/Y8DGFyzZ.jpg","View")</f>
        <v>View</v>
      </c>
    </row>
    <row r="682" spans="1:21" ht="20.399999999999999">
      <c r="A682" s="6">
        <v>43427.396747685183</v>
      </c>
      <c r="B682" s="7" t="str">
        <f>HYPERLINK("https://twitter.com/BobEstropajo","@BobEstropajo")</f>
        <v>@BobEstropajo</v>
      </c>
      <c r="C682" s="8" t="s">
        <v>2932</v>
      </c>
      <c r="D682" s="9" t="s">
        <v>2933</v>
      </c>
      <c r="E682" s="10" t="str">
        <f>HYPERLINK("https://twitter.com/BobEstropajo/status/1065885495182401536","1065885495182401536")</f>
        <v>1065885495182401536</v>
      </c>
      <c r="F682" s="12"/>
      <c r="G682" s="12"/>
      <c r="H682" s="12"/>
      <c r="I682" s="13">
        <v>2</v>
      </c>
      <c r="J682" s="13">
        <v>14</v>
      </c>
      <c r="K682" s="14" t="str">
        <f t="shared" ref="K682:K683" si="118">HYPERLINK("http://twitter.com","Twitter Web Client")</f>
        <v>Twitter Web Client</v>
      </c>
      <c r="L682" s="13">
        <v>86431</v>
      </c>
      <c r="M682" s="13">
        <v>4128</v>
      </c>
      <c r="N682" s="13">
        <v>770</v>
      </c>
      <c r="O682" s="15"/>
      <c r="P682" s="6">
        <v>41892.038900462961</v>
      </c>
      <c r="Q682" s="17" t="s">
        <v>2934</v>
      </c>
      <c r="R682" s="18" t="s">
        <v>2935</v>
      </c>
      <c r="S682" s="11" t="s">
        <v>2936</v>
      </c>
      <c r="T682" s="12"/>
      <c r="U682" s="10" t="str">
        <f>HYPERLINK("https://pbs.twimg.com/profile_images/1059213646692315136/5KWHyXrN.jpg","View")</f>
        <v>View</v>
      </c>
    </row>
    <row r="683" spans="1:21" ht="40.799999999999997">
      <c r="A683" s="6">
        <v>43427.396597222221</v>
      </c>
      <c r="B683" s="7" t="str">
        <f>HYPERLINK("https://twitter.com/MSagraGS","@MSagraGS")</f>
        <v>@MSagraGS</v>
      </c>
      <c r="C683" s="8" t="s">
        <v>2937</v>
      </c>
      <c r="D683" s="9" t="s">
        <v>2938</v>
      </c>
      <c r="E683" s="10" t="str">
        <f>HYPERLINK("https://twitter.com/MSagraGS/status/1065885440417415168","1065885440417415168")</f>
        <v>1065885440417415168</v>
      </c>
      <c r="F683" s="12"/>
      <c r="G683" s="11" t="s">
        <v>2939</v>
      </c>
      <c r="H683" s="12"/>
      <c r="I683" s="13">
        <v>0</v>
      </c>
      <c r="J683" s="13">
        <v>0</v>
      </c>
      <c r="K683" s="14" t="str">
        <f t="shared" si="118"/>
        <v>Twitter Web Client</v>
      </c>
      <c r="L683" s="13">
        <v>207</v>
      </c>
      <c r="M683" s="13">
        <v>550</v>
      </c>
      <c r="N683" s="13">
        <v>2</v>
      </c>
      <c r="O683" s="15"/>
      <c r="P683" s="6">
        <v>41571.926932870367</v>
      </c>
      <c r="Q683" s="12"/>
      <c r="R683" s="18" t="s">
        <v>2940</v>
      </c>
      <c r="S683" s="12"/>
      <c r="T683" s="12"/>
      <c r="U683" s="10" t="str">
        <f>HYPERLINK("https://pbs.twimg.com/profile_images/565256963081007104/HlmcmQaE.png","View")</f>
        <v>View</v>
      </c>
    </row>
    <row r="684" spans="1:21" ht="30.6">
      <c r="A684" s="6">
        <v>43427.396377314813</v>
      </c>
      <c r="B684" s="7" t="str">
        <f>HYPERLINK("https://twitter.com/Moggio3","@Moggio3")</f>
        <v>@Moggio3</v>
      </c>
      <c r="C684" s="8" t="s">
        <v>2941</v>
      </c>
      <c r="D684" s="9" t="s">
        <v>2942</v>
      </c>
      <c r="E684" s="10" t="str">
        <f>HYPERLINK("https://twitter.com/Moggio3/status/1065885360998268933","1065885360998268933")</f>
        <v>1065885360998268933</v>
      </c>
      <c r="F684" s="11" t="s">
        <v>2943</v>
      </c>
      <c r="G684" s="12"/>
      <c r="H684" s="12"/>
      <c r="I684" s="13">
        <v>0</v>
      </c>
      <c r="J684" s="13">
        <v>0</v>
      </c>
      <c r="K684" s="14" t="str">
        <f>HYPERLINK("http://www.facebook.com/twitter","Facebook")</f>
        <v>Facebook</v>
      </c>
      <c r="L684" s="13">
        <v>1425</v>
      </c>
      <c r="M684" s="13">
        <v>1561</v>
      </c>
      <c r="N684" s="13">
        <v>18</v>
      </c>
      <c r="O684" s="15"/>
      <c r="P684" s="6">
        <v>40943.796493055554</v>
      </c>
      <c r="Q684" s="17" t="s">
        <v>28</v>
      </c>
      <c r="R684" s="18" t="s">
        <v>2944</v>
      </c>
      <c r="S684" s="11" t="s">
        <v>2945</v>
      </c>
      <c r="T684" s="12"/>
      <c r="U684" s="10" t="str">
        <f>HYPERLINK("https://pbs.twimg.com/profile_images/929073809772171265/y2DlCHrC.jpg","View")</f>
        <v>View</v>
      </c>
    </row>
    <row r="685" spans="1:21" ht="51">
      <c r="A685" s="6">
        <v>43427.395995370374</v>
      </c>
      <c r="B685" s="7" t="str">
        <f>HYPERLINK("https://twitter.com/CarlosMartinCas","@CarlosMartinCas")</f>
        <v>@CarlosMartinCas</v>
      </c>
      <c r="C685" s="8" t="s">
        <v>2946</v>
      </c>
      <c r="D685" s="9" t="s">
        <v>2947</v>
      </c>
      <c r="E685" s="10" t="str">
        <f>HYPERLINK("https://twitter.com/CarlosMartinCas/status/1065885219746709504","1065885219746709504")</f>
        <v>1065885219746709504</v>
      </c>
      <c r="F685" s="12"/>
      <c r="G685" s="11" t="s">
        <v>2948</v>
      </c>
      <c r="H685" s="12"/>
      <c r="I685" s="13">
        <v>0</v>
      </c>
      <c r="J685" s="13">
        <v>0</v>
      </c>
      <c r="K685" s="14" t="str">
        <f t="shared" ref="K685:K686" si="119">HYPERLINK("http://twitter.com","Twitter Web Client")</f>
        <v>Twitter Web Client</v>
      </c>
      <c r="L685" s="13">
        <v>78</v>
      </c>
      <c r="M685" s="13">
        <v>775</v>
      </c>
      <c r="N685" s="13">
        <v>2</v>
      </c>
      <c r="O685" s="15"/>
      <c r="P685" s="6">
        <v>40804.643750000003</v>
      </c>
      <c r="Q685" s="17" t="s">
        <v>2315</v>
      </c>
      <c r="R685" s="18" t="s">
        <v>2949</v>
      </c>
      <c r="S685" s="11" t="s">
        <v>2950</v>
      </c>
      <c r="T685" s="12"/>
      <c r="U685" s="10" t="str">
        <f>HYPERLINK("https://pbs.twimg.com/profile_images/1551294095/55839_172062256160205_100000692955683_412755_2947370_o.jpg","View")</f>
        <v>View</v>
      </c>
    </row>
    <row r="686" spans="1:21" ht="51">
      <c r="A686" s="6">
        <v>43427.395798611113</v>
      </c>
      <c r="B686" s="7" t="str">
        <f>HYPERLINK("https://twitter.com/J_MartinezRubio","@J_MartinezRubio")</f>
        <v>@J_MartinezRubio</v>
      </c>
      <c r="C686" s="8" t="s">
        <v>2951</v>
      </c>
      <c r="D686" s="9" t="s">
        <v>2952</v>
      </c>
      <c r="E686" s="10" t="str">
        <f>HYPERLINK("https://twitter.com/J_MartinezRubio/status/1065885151257919488","1065885151257919488")</f>
        <v>1065885151257919488</v>
      </c>
      <c r="F686" s="11" t="s">
        <v>2953</v>
      </c>
      <c r="G686" s="12"/>
      <c r="H686" s="12"/>
      <c r="I686" s="13">
        <v>0</v>
      </c>
      <c r="J686" s="13">
        <v>1</v>
      </c>
      <c r="K686" s="14" t="str">
        <f t="shared" si="119"/>
        <v>Twitter Web Client</v>
      </c>
      <c r="L686" s="13">
        <v>1703</v>
      </c>
      <c r="M686" s="13">
        <v>1447</v>
      </c>
      <c r="N686" s="13">
        <v>35</v>
      </c>
      <c r="O686" s="15"/>
      <c r="P686" s="6">
        <v>40750.517187500001</v>
      </c>
      <c r="Q686" s="17" t="s">
        <v>2954</v>
      </c>
      <c r="R686" s="18" t="s">
        <v>2955</v>
      </c>
      <c r="S686" s="11" t="s">
        <v>2956</v>
      </c>
      <c r="T686" s="12"/>
      <c r="U686" s="10" t="str">
        <f>HYPERLINK("https://pbs.twimg.com/profile_images/984904341982273536/bMn2Rjej.jpg","View")</f>
        <v>View</v>
      </c>
    </row>
    <row r="687" spans="1:21" ht="30.6">
      <c r="A687" s="6">
        <v>43427.395625000005</v>
      </c>
      <c r="B687" s="7" t="str">
        <f>HYPERLINK("https://twitter.com/en_nido","@en_nido")</f>
        <v>@en_nido</v>
      </c>
      <c r="C687" s="8" t="s">
        <v>2958</v>
      </c>
      <c r="D687" s="9" t="s">
        <v>2959</v>
      </c>
      <c r="E687" s="10" t="str">
        <f>HYPERLINK("https://twitter.com/en_nido/status/1065885086325850112","1065885086325850112")</f>
        <v>1065885086325850112</v>
      </c>
      <c r="F687" s="12"/>
      <c r="G687" s="12"/>
      <c r="H687" s="12"/>
      <c r="I687" s="13">
        <v>2</v>
      </c>
      <c r="J687" s="13">
        <v>1</v>
      </c>
      <c r="K687" s="14" t="str">
        <f t="shared" ref="K687:K688" si="120">HYPERLINK("http://twitter.com/download/iphone","Twitter for iPhone")</f>
        <v>Twitter for iPhone</v>
      </c>
      <c r="L687" s="13">
        <v>9</v>
      </c>
      <c r="M687" s="13">
        <v>50</v>
      </c>
      <c r="N687" s="13">
        <v>0</v>
      </c>
      <c r="O687" s="15"/>
      <c r="P687" s="6">
        <v>43299.741516203707</v>
      </c>
      <c r="Q687" s="17" t="s">
        <v>2962</v>
      </c>
      <c r="R687" s="18" t="s">
        <v>2963</v>
      </c>
      <c r="S687" s="12"/>
      <c r="T687" s="12"/>
      <c r="U687" s="10" t="str">
        <f>HYPERLINK("https://pbs.twimg.com/profile_images/1019613567035805697/vcV0jx71.jpg","View")</f>
        <v>View</v>
      </c>
    </row>
    <row r="688" spans="1:21" ht="51">
      <c r="A688" s="6">
        <v>43427.395277777774</v>
      </c>
      <c r="B688" s="7" t="str">
        <f>HYPERLINK("https://twitter.com/Helen641326051","@Helen641326051")</f>
        <v>@Helen641326051</v>
      </c>
      <c r="C688" s="8" t="s">
        <v>2964</v>
      </c>
      <c r="D688" s="9" t="s">
        <v>2965</v>
      </c>
      <c r="E688" s="10" t="str">
        <f>HYPERLINK("https://twitter.com/Helen641326051/status/1065884962493267968","1065884962493267968")</f>
        <v>1065884962493267968</v>
      </c>
      <c r="F688" s="11" t="s">
        <v>2823</v>
      </c>
      <c r="G688" s="12"/>
      <c r="H688" s="12"/>
      <c r="I688" s="13">
        <v>0</v>
      </c>
      <c r="J688" s="13">
        <v>0</v>
      </c>
      <c r="K688" s="14" t="str">
        <f t="shared" si="120"/>
        <v>Twitter for iPhone</v>
      </c>
      <c r="L688" s="13">
        <v>55</v>
      </c>
      <c r="M688" s="13">
        <v>54</v>
      </c>
      <c r="N688" s="13">
        <v>0</v>
      </c>
      <c r="O688" s="15"/>
      <c r="P688" s="6">
        <v>43015.647997685184</v>
      </c>
      <c r="Q688" s="17" t="s">
        <v>27</v>
      </c>
      <c r="R688" s="18" t="s">
        <v>2966</v>
      </c>
      <c r="S688" s="12"/>
      <c r="T688" s="12"/>
      <c r="U688" s="10" t="str">
        <f>HYPERLINK("https://pbs.twimg.com/profile_images/1050485831344025601/jbsjRPRD.jpg","View")</f>
        <v>View</v>
      </c>
    </row>
    <row r="689" spans="1:21" ht="40.799999999999997">
      <c r="A689" s="6">
        <v>43427.394537037035</v>
      </c>
      <c r="B689" s="7" t="str">
        <f>HYPERLINK("https://twitter.com/HIncultux","@HIncultux")</f>
        <v>@HIncultux</v>
      </c>
      <c r="C689" s="8" t="s">
        <v>2967</v>
      </c>
      <c r="D689" s="9" t="s">
        <v>2968</v>
      </c>
      <c r="E689" s="10" t="str">
        <f>HYPERLINK("https://twitter.com/HIncultux/status/1065884690291322880","1065884690291322880")</f>
        <v>1065884690291322880</v>
      </c>
      <c r="F689" s="12"/>
      <c r="G689" s="12"/>
      <c r="H689" s="12"/>
      <c r="I689" s="13">
        <v>0</v>
      </c>
      <c r="J689" s="13">
        <v>0</v>
      </c>
      <c r="K689" s="14" t="str">
        <f t="shared" ref="K689:K690" si="121">HYPERLINK("http://twitter.com/download/android","Twitter for Android")</f>
        <v>Twitter for Android</v>
      </c>
      <c r="L689" s="13">
        <v>63</v>
      </c>
      <c r="M689" s="13">
        <v>142</v>
      </c>
      <c r="N689" s="13">
        <v>0</v>
      </c>
      <c r="O689" s="15"/>
      <c r="P689" s="6">
        <v>42955.812280092592</v>
      </c>
      <c r="Q689" s="17" t="s">
        <v>28</v>
      </c>
      <c r="R689" s="18" t="s">
        <v>2969</v>
      </c>
      <c r="S689" s="12"/>
      <c r="T689" s="12"/>
      <c r="U689" s="10" t="str">
        <f>HYPERLINK("https://pbs.twimg.com/profile_images/1026569604137668608/h4MRnDVs.jpg","View")</f>
        <v>View</v>
      </c>
    </row>
    <row r="690" spans="1:21" ht="40.799999999999997">
      <c r="A690" s="6">
        <v>43427.394016203703</v>
      </c>
      <c r="B690" s="7" t="str">
        <f>HYPERLINK("https://twitter.com/Guille99Amieva","@Guille99Amieva")</f>
        <v>@Guille99Amieva</v>
      </c>
      <c r="C690" s="8" t="s">
        <v>2970</v>
      </c>
      <c r="D690" s="9" t="s">
        <v>2971</v>
      </c>
      <c r="E690" s="10" t="str">
        <f>HYPERLINK("https://twitter.com/Guille99Amieva/status/1065884504101974021","1065884504101974021")</f>
        <v>1065884504101974021</v>
      </c>
      <c r="F690" s="12"/>
      <c r="G690" s="12"/>
      <c r="H690" s="12"/>
      <c r="I690" s="13">
        <v>0</v>
      </c>
      <c r="J690" s="13">
        <v>0</v>
      </c>
      <c r="K690" s="14" t="str">
        <f t="shared" si="121"/>
        <v>Twitter for Android</v>
      </c>
      <c r="L690" s="13">
        <v>49</v>
      </c>
      <c r="M690" s="13">
        <v>134</v>
      </c>
      <c r="N690" s="13">
        <v>0</v>
      </c>
      <c r="O690" s="15"/>
      <c r="P690" s="6">
        <v>43071.539259259254</v>
      </c>
      <c r="Q690" s="17" t="s">
        <v>2972</v>
      </c>
      <c r="R690" s="18" t="s">
        <v>2973</v>
      </c>
      <c r="S690" s="11" t="s">
        <v>2974</v>
      </c>
      <c r="T690" s="12"/>
      <c r="U690" s="10" t="str">
        <f>HYPERLINK("https://pbs.twimg.com/profile_images/1064578527511658496/0dsxQadN.jpg","View")</f>
        <v>View</v>
      </c>
    </row>
    <row r="691" spans="1:21" ht="30.6">
      <c r="A691" s="6">
        <v>43427.393437499995</v>
      </c>
      <c r="B691" s="7" t="str">
        <f>HYPERLINK("https://twitter.com/GramaGraty","@GramaGraty")</f>
        <v>@GramaGraty</v>
      </c>
      <c r="C691" s="8" t="s">
        <v>2975</v>
      </c>
      <c r="D691" s="9" t="s">
        <v>2347</v>
      </c>
      <c r="E691" s="10" t="str">
        <f>HYPERLINK("https://twitter.com/GramaGraty/status/1065884296014106624","1065884296014106624")</f>
        <v>1065884296014106624</v>
      </c>
      <c r="F691" s="11" t="s">
        <v>320</v>
      </c>
      <c r="G691" s="12"/>
      <c r="H691" s="12"/>
      <c r="I691" s="13">
        <v>0</v>
      </c>
      <c r="J691" s="13">
        <v>0</v>
      </c>
      <c r="K691" s="14" t="str">
        <f>HYPERLINK("http://twitter.com","Twitter Web Client")</f>
        <v>Twitter Web Client</v>
      </c>
      <c r="L691" s="13">
        <v>34</v>
      </c>
      <c r="M691" s="13">
        <v>176</v>
      </c>
      <c r="N691" s="13">
        <v>0</v>
      </c>
      <c r="O691" s="15"/>
      <c r="P691" s="6">
        <v>41509.967465277776</v>
      </c>
      <c r="Q691" s="17" t="s">
        <v>2976</v>
      </c>
      <c r="R691" s="19"/>
      <c r="S691" s="12"/>
      <c r="T691" s="12"/>
      <c r="U691" s="10" t="str">
        <f>HYPERLINK("https://pbs.twimg.com/profile_images/1029637466435858432/LgKBFS2x.jpg","View")</f>
        <v>View</v>
      </c>
    </row>
    <row r="692" spans="1:21" ht="30.6">
      <c r="A692" s="6">
        <v>43427.392569444448</v>
      </c>
      <c r="B692" s="7" t="str">
        <f>HYPERLINK("https://twitter.com/RadarGuarico","@RadarGuarico")</f>
        <v>@RadarGuarico</v>
      </c>
      <c r="C692" s="8" t="s">
        <v>2977</v>
      </c>
      <c r="D692" s="9" t="s">
        <v>2760</v>
      </c>
      <c r="E692" s="10" t="str">
        <f>HYPERLINK("https://twitter.com/RadarGuarico/status/1065883980652822528","1065883980652822528")</f>
        <v>1065883980652822528</v>
      </c>
      <c r="F692" s="11" t="s">
        <v>2761</v>
      </c>
      <c r="G692" s="12"/>
      <c r="H692" s="12"/>
      <c r="I692" s="13">
        <v>0</v>
      </c>
      <c r="J692" s="13">
        <v>0</v>
      </c>
      <c r="K692" s="14" t="str">
        <f>HYPERLINK("https://ifttt.com","IFTTT")</f>
        <v>IFTTT</v>
      </c>
      <c r="L692" s="13">
        <v>92</v>
      </c>
      <c r="M692" s="13">
        <v>120</v>
      </c>
      <c r="N692" s="13">
        <v>0</v>
      </c>
      <c r="O692" s="15"/>
      <c r="P692" s="6">
        <v>42814.153842592597</v>
      </c>
      <c r="Q692" s="17" t="s">
        <v>2978</v>
      </c>
      <c r="R692" s="18" t="s">
        <v>2979</v>
      </c>
      <c r="S692" s="12"/>
      <c r="T692" s="12"/>
      <c r="U692" s="10" t="str">
        <f>HYPERLINK("https://pbs.twimg.com/profile_images/1033905986203996160/OlBJMQsg.jpg","View")</f>
        <v>View</v>
      </c>
    </row>
    <row r="693" spans="1:21" ht="30.6">
      <c r="A693" s="6">
        <v>43427.392557870371</v>
      </c>
      <c r="B693" s="7" t="str">
        <f>HYPERLINK("https://twitter.com/Noolvides4","@Noolvides4")</f>
        <v>@Noolvides4</v>
      </c>
      <c r="C693" s="8" t="s">
        <v>2980</v>
      </c>
      <c r="D693" s="9" t="s">
        <v>2981</v>
      </c>
      <c r="E693" s="10" t="str">
        <f>HYPERLINK("https://twitter.com/Noolvides4/status/1065883974340435968","1065883974340435968")</f>
        <v>1065883974340435968</v>
      </c>
      <c r="F693" s="11" t="s">
        <v>2982</v>
      </c>
      <c r="G693" s="12"/>
      <c r="H693" s="12"/>
      <c r="I693" s="13">
        <v>0</v>
      </c>
      <c r="J693" s="13">
        <v>1</v>
      </c>
      <c r="K693" s="14" t="str">
        <f>HYPERLINK("http://twitter.com/download/android","Twitter for Android")</f>
        <v>Twitter for Android</v>
      </c>
      <c r="L693" s="13">
        <v>43</v>
      </c>
      <c r="M693" s="13">
        <v>79</v>
      </c>
      <c r="N693" s="13">
        <v>0</v>
      </c>
      <c r="O693" s="15"/>
      <c r="P693" s="6">
        <v>43348.524768518517</v>
      </c>
      <c r="Q693" s="12"/>
      <c r="R693" s="18" t="s">
        <v>2983</v>
      </c>
      <c r="S693" s="12"/>
      <c r="T693" s="12"/>
      <c r="U693" s="10" t="str">
        <f>HYPERLINK("https://pbs.twimg.com/profile_images/1055742275937026048/rtMAhzHc.jpg","View")</f>
        <v>View</v>
      </c>
    </row>
    <row r="694" spans="1:21" ht="40.799999999999997">
      <c r="A694" s="6">
        <v>43427.392361111109</v>
      </c>
      <c r="B694" s="7" t="str">
        <f>HYPERLINK("https://twitter.com/lasprovincias","@lasprovincias")</f>
        <v>@lasprovincias</v>
      </c>
      <c r="C694" s="8" t="s">
        <v>2985</v>
      </c>
      <c r="D694" s="9" t="s">
        <v>2986</v>
      </c>
      <c r="E694" s="10" t="str">
        <f>HYPERLINK("https://twitter.com/lasprovincias/status/1065883902949044224","1065883902949044224")</f>
        <v>1065883902949044224</v>
      </c>
      <c r="F694" s="11" t="s">
        <v>2987</v>
      </c>
      <c r="G694" s="12"/>
      <c r="H694" s="12"/>
      <c r="I694" s="13">
        <v>1</v>
      </c>
      <c r="J694" s="13">
        <v>1</v>
      </c>
      <c r="K694" s="14" t="str">
        <f>HYPERLINK("https://about.twitter.com/products/tweetdeck","TweetDeck")</f>
        <v>TweetDeck</v>
      </c>
      <c r="L694" s="13">
        <v>170902</v>
      </c>
      <c r="M694" s="13">
        <v>176</v>
      </c>
      <c r="N694" s="13">
        <v>1830</v>
      </c>
      <c r="O694" s="16" t="s">
        <v>26</v>
      </c>
      <c r="P694" s="6">
        <v>39777.557349537034</v>
      </c>
      <c r="Q694" s="17" t="s">
        <v>2988</v>
      </c>
      <c r="R694" s="18" t="s">
        <v>2989</v>
      </c>
      <c r="S694" s="11" t="s">
        <v>2990</v>
      </c>
      <c r="T694" s="12"/>
      <c r="U694" s="10" t="str">
        <f>HYPERLINK("https://pbs.twimg.com/profile_images/875631082082754562/s54cREIc.jpg","View")</f>
        <v>View</v>
      </c>
    </row>
    <row r="695" spans="1:21" ht="30.6">
      <c r="A695" s="6">
        <v>43427.391273148147</v>
      </c>
      <c r="B695" s="7" t="str">
        <f>HYPERLINK("https://twitter.com/lopescorza","@lopescorza")</f>
        <v>@lopescorza</v>
      </c>
      <c r="C695" s="8" t="s">
        <v>2991</v>
      </c>
      <c r="D695" s="9" t="s">
        <v>2992</v>
      </c>
      <c r="E695" s="10" t="str">
        <f>HYPERLINK("https://twitter.com/lopescorza/status/1065883507623378944","1065883507623378944")</f>
        <v>1065883507623378944</v>
      </c>
      <c r="F695" s="11" t="s">
        <v>2993</v>
      </c>
      <c r="G695" s="12"/>
      <c r="H695" s="12"/>
      <c r="I695" s="13">
        <v>0</v>
      </c>
      <c r="J695" s="13">
        <v>0</v>
      </c>
      <c r="K695" s="14" t="str">
        <f>HYPERLINK("http://www.facebook.com/twitter","Facebook")</f>
        <v>Facebook</v>
      </c>
      <c r="L695" s="13">
        <v>773</v>
      </c>
      <c r="M695" s="13">
        <v>1917</v>
      </c>
      <c r="N695" s="13">
        <v>10</v>
      </c>
      <c r="O695" s="15"/>
      <c r="P695" s="6">
        <v>41038.301446759258</v>
      </c>
      <c r="Q695" s="17" t="s">
        <v>2994</v>
      </c>
      <c r="R695" s="18" t="s">
        <v>2995</v>
      </c>
      <c r="S695" s="11" t="s">
        <v>2996</v>
      </c>
      <c r="T695" s="12"/>
      <c r="U695" s="10" t="str">
        <f>HYPERLINK("https://pbs.twimg.com/profile_images/902590003091447808/jbU7exQr.jpg","View")</f>
        <v>View</v>
      </c>
    </row>
    <row r="696" spans="1:21" ht="51">
      <c r="A696" s="6">
        <v>43427.390972222223</v>
      </c>
      <c r="B696" s="7" t="str">
        <f>HYPERLINK("https://twitter.com/AlmadeLobo4","@AlmadeLobo4")</f>
        <v>@AlmadeLobo4</v>
      </c>
      <c r="C696" s="8" t="s">
        <v>2997</v>
      </c>
      <c r="D696" s="9" t="s">
        <v>2998</v>
      </c>
      <c r="E696" s="10" t="str">
        <f>HYPERLINK("https://twitter.com/AlmadeLobo4/status/1065883401851453440","1065883401851453440")</f>
        <v>1065883401851453440</v>
      </c>
      <c r="F696" s="12"/>
      <c r="G696" s="11" t="s">
        <v>2999</v>
      </c>
      <c r="H696" s="12"/>
      <c r="I696" s="13">
        <v>0</v>
      </c>
      <c r="J696" s="13">
        <v>0</v>
      </c>
      <c r="K696" s="14" t="str">
        <f>HYPERLINK("http://twitter.com/download/iphone","Twitter for iPhone")</f>
        <v>Twitter for iPhone</v>
      </c>
      <c r="L696" s="13">
        <v>151</v>
      </c>
      <c r="M696" s="13">
        <v>509</v>
      </c>
      <c r="N696" s="13">
        <v>0</v>
      </c>
      <c r="O696" s="15"/>
      <c r="P696" s="6">
        <v>43360.858206018514</v>
      </c>
      <c r="Q696" s="17" t="s">
        <v>2338</v>
      </c>
      <c r="R696" s="18" t="s">
        <v>3000</v>
      </c>
      <c r="S696" s="12"/>
      <c r="T696" s="12"/>
      <c r="U696" s="10" t="str">
        <f>HYPERLINK("https://pbs.twimg.com/profile_images/1041758518460776451/oPdqdx_1.jpg","View")</f>
        <v>View</v>
      </c>
    </row>
    <row r="697" spans="1:21" ht="30.6">
      <c r="A697" s="6">
        <v>43427.3903587963</v>
      </c>
      <c r="B697" s="7" t="str">
        <f>HYPERLINK("https://twitter.com/PPopular","@PPopular")</f>
        <v>@PPopular</v>
      </c>
      <c r="C697" s="8" t="s">
        <v>2812</v>
      </c>
      <c r="D697" s="9" t="s">
        <v>3002</v>
      </c>
      <c r="E697" s="10" t="str">
        <f>HYPERLINK("https://twitter.com/PPopular/status/1065883179909697536","1065883179909697536")</f>
        <v>1065883179909697536</v>
      </c>
      <c r="F697" s="12"/>
      <c r="G697" s="11" t="s">
        <v>3004</v>
      </c>
      <c r="H697" s="12"/>
      <c r="I697" s="13">
        <v>50</v>
      </c>
      <c r="J697" s="13">
        <v>60</v>
      </c>
      <c r="K697" s="14" t="str">
        <f>HYPERLINK("http://snappytv.com","SnappyTV.com")</f>
        <v>SnappyTV.com</v>
      </c>
      <c r="L697" s="13">
        <v>675612</v>
      </c>
      <c r="M697" s="13">
        <v>4429</v>
      </c>
      <c r="N697" s="13">
        <v>4624</v>
      </c>
      <c r="O697" s="16" t="s">
        <v>26</v>
      </c>
      <c r="P697" s="6">
        <v>39854.559571759259</v>
      </c>
      <c r="Q697" s="17" t="s">
        <v>27</v>
      </c>
      <c r="R697" s="18" t="s">
        <v>2817</v>
      </c>
      <c r="S697" s="11" t="s">
        <v>2818</v>
      </c>
      <c r="T697" s="12"/>
      <c r="U697" s="10" t="str">
        <f>HYPERLINK("https://pbs.twimg.com/profile_images/1053405499130068992/J8rl56pW.jpg","View")</f>
        <v>View</v>
      </c>
    </row>
    <row r="698" spans="1:21" ht="30.6">
      <c r="A698" s="6">
        <v>43427.390092592592</v>
      </c>
      <c r="B698" s="7" t="str">
        <f>HYPERLINK("https://twitter.com/RadarCojedes","@RadarCojedes")</f>
        <v>@RadarCojedes</v>
      </c>
      <c r="C698" s="8" t="s">
        <v>3006</v>
      </c>
      <c r="D698" s="9" t="s">
        <v>2760</v>
      </c>
      <c r="E698" s="10" t="str">
        <f>HYPERLINK("https://twitter.com/RadarCojedes/status/1065883082178379776","1065883082178379776")</f>
        <v>1065883082178379776</v>
      </c>
      <c r="F698" s="11" t="s">
        <v>2761</v>
      </c>
      <c r="G698" s="12"/>
      <c r="H698" s="12"/>
      <c r="I698" s="13">
        <v>0</v>
      </c>
      <c r="J698" s="13">
        <v>0</v>
      </c>
      <c r="K698" s="14" t="str">
        <f>HYPERLINK("https://ifttt.com","IFTTT")</f>
        <v>IFTTT</v>
      </c>
      <c r="L698" s="13">
        <v>181</v>
      </c>
      <c r="M698" s="13">
        <v>154</v>
      </c>
      <c r="N698" s="13">
        <v>0</v>
      </c>
      <c r="O698" s="15"/>
      <c r="P698" s="6">
        <v>42814.175416666665</v>
      </c>
      <c r="Q698" s="12"/>
      <c r="R698" s="18" t="s">
        <v>3007</v>
      </c>
      <c r="S698" s="12"/>
      <c r="T698" s="12"/>
      <c r="U698" s="10" t="str">
        <f>HYPERLINK("https://pbs.twimg.com/profile_images/1033939139476041728/47ycC3eo.jpg","View")</f>
        <v>View</v>
      </c>
    </row>
    <row r="699" spans="1:21" ht="51">
      <c r="A699" s="6">
        <v>43427.389849537038</v>
      </c>
      <c r="B699" s="7" t="str">
        <f>HYPERLINK("https://twitter.com/Wallymi10","@Wallymi10")</f>
        <v>@Wallymi10</v>
      </c>
      <c r="C699" s="8" t="s">
        <v>3009</v>
      </c>
      <c r="D699" s="9" t="s">
        <v>3010</v>
      </c>
      <c r="E699" s="10" t="str">
        <f>HYPERLINK("https://twitter.com/Wallymi10/status/1065882994148282368","1065882994148282368")</f>
        <v>1065882994148282368</v>
      </c>
      <c r="F699" s="11" t="s">
        <v>3014</v>
      </c>
      <c r="G699" s="12"/>
      <c r="H699" s="12"/>
      <c r="I699" s="13">
        <v>3</v>
      </c>
      <c r="J699" s="13">
        <v>1</v>
      </c>
      <c r="K699" s="14" t="str">
        <f>HYPERLINK("http://twitter.com/download/android","Twitter for Android")</f>
        <v>Twitter for Android</v>
      </c>
      <c r="L699" s="13">
        <v>4375</v>
      </c>
      <c r="M699" s="13">
        <v>4512</v>
      </c>
      <c r="N699" s="13">
        <v>26</v>
      </c>
      <c r="O699" s="15"/>
      <c r="P699" s="6">
        <v>40805.640347222223</v>
      </c>
      <c r="Q699" s="17" t="s">
        <v>3015</v>
      </c>
      <c r="R699" s="18" t="s">
        <v>3016</v>
      </c>
      <c r="S699" s="12"/>
      <c r="T699" s="12"/>
      <c r="U699" s="10" t="str">
        <f>HYPERLINK("https://pbs.twimg.com/profile_images/948140742727340033/EEg67D9S.jpg","View")</f>
        <v>View</v>
      </c>
    </row>
    <row r="700" spans="1:21" ht="30.6">
      <c r="A700" s="6">
        <v>43427.389583333337</v>
      </c>
      <c r="B700" s="7" t="str">
        <f>HYPERLINK("https://twitter.com/OnceNoticiasTV","@OnceNoticiasTV")</f>
        <v>@OnceNoticiasTV</v>
      </c>
      <c r="C700" s="8" t="s">
        <v>3017</v>
      </c>
      <c r="D700" s="9" t="s">
        <v>3018</v>
      </c>
      <c r="E700" s="10" t="str">
        <f>HYPERLINK("https://twitter.com/OnceNoticiasTV/status/1065882896437792768","1065882896437792768")</f>
        <v>1065882896437792768</v>
      </c>
      <c r="F700" s="11" t="s">
        <v>3019</v>
      </c>
      <c r="G700" s="12"/>
      <c r="H700" s="12"/>
      <c r="I700" s="13">
        <v>0</v>
      </c>
      <c r="J700" s="13">
        <v>0</v>
      </c>
      <c r="K700" s="14" t="str">
        <f>HYPERLINK("https://about.twitter.com/products/tweetdeck","TweetDeck")</f>
        <v>TweetDeck</v>
      </c>
      <c r="L700" s="13">
        <v>66097</v>
      </c>
      <c r="M700" s="13">
        <v>1000</v>
      </c>
      <c r="N700" s="13">
        <v>733</v>
      </c>
      <c r="O700" s="16" t="s">
        <v>26</v>
      </c>
      <c r="P700" s="6">
        <v>41402.851990740739</v>
      </c>
      <c r="Q700" s="17" t="s">
        <v>790</v>
      </c>
      <c r="R700" s="18" t="s">
        <v>3020</v>
      </c>
      <c r="S700" s="11" t="s">
        <v>3021</v>
      </c>
      <c r="T700" s="12"/>
      <c r="U700" s="10" t="str">
        <f>HYPERLINK("https://pbs.twimg.com/profile_images/1002269101539049472/Sby03xXF.jpg","View")</f>
        <v>View</v>
      </c>
    </row>
    <row r="701" spans="1:21" ht="40.799999999999997">
      <c r="A701" s="6">
        <v>43427.388912037037</v>
      </c>
      <c r="B701" s="7" t="str">
        <f>HYPERLINK("https://twitter.com/TheObjective_es","@TheObjective_es")</f>
        <v>@TheObjective_es</v>
      </c>
      <c r="C701" s="8" t="s">
        <v>499</v>
      </c>
      <c r="D701" s="9" t="s">
        <v>3022</v>
      </c>
      <c r="E701" s="10" t="str">
        <f>HYPERLINK("https://twitter.com/TheObjective_es/status/1065882655407988736","1065882655407988736")</f>
        <v>1065882655407988736</v>
      </c>
      <c r="F701" s="11" t="s">
        <v>501</v>
      </c>
      <c r="G701" s="11" t="s">
        <v>3023</v>
      </c>
      <c r="H701" s="12"/>
      <c r="I701" s="13">
        <v>0</v>
      </c>
      <c r="J701" s="13">
        <v>0</v>
      </c>
      <c r="K701" s="14" t="str">
        <f>HYPERLINK("https://buffer.com","Buffer")</f>
        <v>Buffer</v>
      </c>
      <c r="L701" s="13">
        <v>50591</v>
      </c>
      <c r="M701" s="13">
        <v>709</v>
      </c>
      <c r="N701" s="13">
        <v>1216</v>
      </c>
      <c r="O701" s="15"/>
      <c r="P701" s="6">
        <v>41473.393935185188</v>
      </c>
      <c r="Q701" s="17" t="s">
        <v>436</v>
      </c>
      <c r="R701" s="18" t="s">
        <v>503</v>
      </c>
      <c r="S701" s="11" t="s">
        <v>504</v>
      </c>
      <c r="T701" s="12"/>
      <c r="U701" s="10" t="str">
        <f>HYPERLINK("https://pbs.twimg.com/profile_images/996760534082117632/umqvtWL2.jpg","View")</f>
        <v>View</v>
      </c>
    </row>
    <row r="702" spans="1:21" ht="30.6">
      <c r="A702" s="6">
        <v>43427.388842592598</v>
      </c>
      <c r="B702" s="7" t="str">
        <f>HYPERLINK("https://twitter.com/elEconomistaes","@elEconomistaes")</f>
        <v>@elEconomistaes</v>
      </c>
      <c r="C702" s="20" t="s">
        <v>3024</v>
      </c>
      <c r="D702" s="9" t="s">
        <v>3025</v>
      </c>
      <c r="E702" s="10" t="str">
        <f>HYPERLINK("https://twitter.com/elEconomistaes/status/1065882628845379586","1065882628845379586")</f>
        <v>1065882628845379586</v>
      </c>
      <c r="F702" s="11" t="s">
        <v>3026</v>
      </c>
      <c r="G702" s="12"/>
      <c r="H702" s="12"/>
      <c r="I702" s="13">
        <v>1</v>
      </c>
      <c r="J702" s="13">
        <v>0</v>
      </c>
      <c r="K702" s="14" t="str">
        <f>HYPERLINK("http://twitter.com","Twitter Web Client")</f>
        <v>Twitter Web Client</v>
      </c>
      <c r="L702" s="13">
        <v>655205</v>
      </c>
      <c r="M702" s="13">
        <v>369</v>
      </c>
      <c r="N702" s="13">
        <v>8755</v>
      </c>
      <c r="O702" s="16" t="s">
        <v>26</v>
      </c>
      <c r="P702" s="6">
        <v>40373.48164351852</v>
      </c>
      <c r="Q702" s="12"/>
      <c r="R702" s="18" t="s">
        <v>3027</v>
      </c>
      <c r="S702" s="11" t="s">
        <v>3028</v>
      </c>
      <c r="T702" s="12"/>
      <c r="U702" s="10" t="str">
        <f>HYPERLINK("https://pbs.twimg.com/profile_images/899527230833012736/uMjGoE60.jpg","View")</f>
        <v>View</v>
      </c>
    </row>
    <row r="703" spans="1:21" ht="40.799999999999997">
      <c r="A703" s="6">
        <v>43427.388842592598</v>
      </c>
      <c r="B703" s="7" t="str">
        <f>HYPERLINK("https://twitter.com/whitefarty","@whitefarty")</f>
        <v>@whitefarty</v>
      </c>
      <c r="C703" s="8" t="s">
        <v>3029</v>
      </c>
      <c r="D703" s="9" t="s">
        <v>3030</v>
      </c>
      <c r="E703" s="10" t="str">
        <f>HYPERLINK("https://twitter.com/whitefarty/status/1065882628753108992","1065882628753108992")</f>
        <v>1065882628753108992</v>
      </c>
      <c r="F703" s="12"/>
      <c r="G703" s="12"/>
      <c r="H703" s="12"/>
      <c r="I703" s="13">
        <v>0</v>
      </c>
      <c r="J703" s="13">
        <v>0</v>
      </c>
      <c r="K703" s="14" t="str">
        <f>HYPERLINK("http://twitter.com/download/android","Twitter for Android")</f>
        <v>Twitter for Android</v>
      </c>
      <c r="L703" s="13">
        <v>1660</v>
      </c>
      <c r="M703" s="13">
        <v>2781</v>
      </c>
      <c r="N703" s="13">
        <v>30</v>
      </c>
      <c r="O703" s="15"/>
      <c r="P703" s="6">
        <v>40445.707673611112</v>
      </c>
      <c r="Q703" s="17" t="s">
        <v>3031</v>
      </c>
      <c r="R703" s="18" t="s">
        <v>3032</v>
      </c>
      <c r="S703" s="12"/>
      <c r="T703" s="12"/>
      <c r="U703" s="10" t="str">
        <f>HYPERLINK("https://pbs.twimg.com/profile_images/951361129112133632/IQIAbQLF.jpg","View")</f>
        <v>View</v>
      </c>
    </row>
    <row r="704" spans="1:21" ht="20.399999999999999">
      <c r="A704" s="6">
        <v>43427.388738425929</v>
      </c>
      <c r="B704" s="7" t="str">
        <f>HYPERLINK("https://twitter.com/excometals","@excometals")</f>
        <v>@excometals</v>
      </c>
      <c r="C704" s="8" t="s">
        <v>3034</v>
      </c>
      <c r="D704" s="9" t="s">
        <v>3035</v>
      </c>
      <c r="E704" s="10" t="str">
        <f>HYPERLINK("https://twitter.com/excometals/status/1065882590043930624","1065882590043930624")</f>
        <v>1065882590043930624</v>
      </c>
      <c r="F704" s="11" t="s">
        <v>3036</v>
      </c>
      <c r="G704" s="12"/>
      <c r="H704" s="12"/>
      <c r="I704" s="13">
        <v>0</v>
      </c>
      <c r="J704" s="13">
        <v>0</v>
      </c>
      <c r="K704" s="14" t="str">
        <f>HYPERLINK("http://www.facebook.com/twitter","Facebook")</f>
        <v>Facebook</v>
      </c>
      <c r="L704" s="13">
        <v>954</v>
      </c>
      <c r="M704" s="13">
        <v>497</v>
      </c>
      <c r="N704" s="13">
        <v>57</v>
      </c>
      <c r="O704" s="15"/>
      <c r="P704" s="6">
        <v>40623.696446759262</v>
      </c>
      <c r="Q704" s="17" t="s">
        <v>28</v>
      </c>
      <c r="R704" s="19"/>
      <c r="S704" s="11" t="s">
        <v>3037</v>
      </c>
      <c r="T704" s="12"/>
      <c r="U704" s="10" t="str">
        <f>HYPERLINK("https://pbs.twimg.com/profile_images/1046250365228863488/Zl0YB5zT.jpg","View")</f>
        <v>View</v>
      </c>
    </row>
    <row r="705" spans="1:21" ht="30.6">
      <c r="A705" s="6">
        <v>43427.388460648144</v>
      </c>
      <c r="B705" s="7" t="str">
        <f>HYPERLINK("https://twitter.com/marisa_mercado2","@marisa_mercado2")</f>
        <v>@marisa_mercado2</v>
      </c>
      <c r="C705" s="8" t="s">
        <v>3038</v>
      </c>
      <c r="D705" s="9" t="s">
        <v>3039</v>
      </c>
      <c r="E705" s="10" t="str">
        <f>HYPERLINK("https://twitter.com/marisa_mercado2/status/1065882490106191872","1065882490106191872")</f>
        <v>1065882490106191872</v>
      </c>
      <c r="F705" s="12"/>
      <c r="G705" s="11" t="s">
        <v>3040</v>
      </c>
      <c r="H705" s="12"/>
      <c r="I705" s="13">
        <v>16</v>
      </c>
      <c r="J705" s="13">
        <v>21</v>
      </c>
      <c r="K705" s="14" t="str">
        <f t="shared" ref="K705:K706" si="122">HYPERLINK("http://twitter.com/download/android","Twitter for Android")</f>
        <v>Twitter for Android</v>
      </c>
      <c r="L705" s="13">
        <v>510</v>
      </c>
      <c r="M705" s="13">
        <v>56</v>
      </c>
      <c r="N705" s="13">
        <v>6</v>
      </c>
      <c r="O705" s="15"/>
      <c r="P705" s="6">
        <v>42089.432303240741</v>
      </c>
      <c r="Q705" s="12"/>
      <c r="R705" s="18" t="s">
        <v>3041</v>
      </c>
      <c r="S705" s="12"/>
      <c r="T705" s="12"/>
      <c r="U705" s="10" t="str">
        <f>HYPERLINK("https://pbs.twimg.com/profile_images/582544013372325888/JBFHhBQA.jpg","View")</f>
        <v>View</v>
      </c>
    </row>
    <row r="706" spans="1:21" ht="30.6">
      <c r="A706" s="6">
        <v>43427.388391203705</v>
      </c>
      <c r="B706" s="7" t="str">
        <f>HYPERLINK("https://twitter.com/manuelcanosamar","@manuelcanosamar")</f>
        <v>@manuelcanosamar</v>
      </c>
      <c r="C706" s="8" t="s">
        <v>3042</v>
      </c>
      <c r="D706" s="9" t="s">
        <v>3043</v>
      </c>
      <c r="E706" s="10" t="str">
        <f>HYPERLINK("https://twitter.com/manuelcanosamar/status/1065882466848780289","1065882466848780289")</f>
        <v>1065882466848780289</v>
      </c>
      <c r="F706" s="12"/>
      <c r="G706" s="12"/>
      <c r="H706" s="12"/>
      <c r="I706" s="13">
        <v>0</v>
      </c>
      <c r="J706" s="13">
        <v>0</v>
      </c>
      <c r="K706" s="14" t="str">
        <f t="shared" si="122"/>
        <v>Twitter for Android</v>
      </c>
      <c r="L706" s="13">
        <v>34</v>
      </c>
      <c r="M706" s="13">
        <v>28</v>
      </c>
      <c r="N706" s="13">
        <v>4</v>
      </c>
      <c r="O706" s="15"/>
      <c r="P706" s="6">
        <v>41156.767199074078</v>
      </c>
      <c r="Q706" s="17" t="s">
        <v>3044</v>
      </c>
      <c r="R706" s="18" t="s">
        <v>3045</v>
      </c>
      <c r="S706" s="12"/>
      <c r="T706" s="12"/>
      <c r="U706" s="10" t="str">
        <f>HYPERLINK("https://pbs.twimg.com/profile_images/511843838625718272/hJ1rgNA4.jpeg","View")</f>
        <v>View</v>
      </c>
    </row>
    <row r="707" spans="1:21" ht="51">
      <c r="A707" s="6">
        <v>43427.387719907405</v>
      </c>
      <c r="B707" s="7" t="str">
        <f>HYPERLINK("https://twitter.com/PPopular","@PPopular")</f>
        <v>@PPopular</v>
      </c>
      <c r="C707" s="8" t="s">
        <v>2812</v>
      </c>
      <c r="D707" s="9" t="s">
        <v>3046</v>
      </c>
      <c r="E707" s="10" t="str">
        <f>HYPERLINK("https://twitter.com/PPopular/status/1065882222509486080","1065882222509486080")</f>
        <v>1065882222509486080</v>
      </c>
      <c r="F707" s="12"/>
      <c r="G707" s="11" t="s">
        <v>3047</v>
      </c>
      <c r="H707" s="12"/>
      <c r="I707" s="13">
        <v>50</v>
      </c>
      <c r="J707" s="13">
        <v>49</v>
      </c>
      <c r="K707" s="14" t="str">
        <f>HYPERLINK("http://snappytv.com","SnappyTV.com")</f>
        <v>SnappyTV.com</v>
      </c>
      <c r="L707" s="13">
        <v>675612</v>
      </c>
      <c r="M707" s="13">
        <v>4429</v>
      </c>
      <c r="N707" s="13">
        <v>4624</v>
      </c>
      <c r="O707" s="16" t="s">
        <v>26</v>
      </c>
      <c r="P707" s="6">
        <v>39854.559571759259</v>
      </c>
      <c r="Q707" s="17" t="s">
        <v>27</v>
      </c>
      <c r="R707" s="18" t="s">
        <v>2817</v>
      </c>
      <c r="S707" s="11" t="s">
        <v>2818</v>
      </c>
      <c r="T707" s="12"/>
      <c r="U707" s="10" t="str">
        <f>HYPERLINK("https://pbs.twimg.com/profile_images/1053405499130068992/J8rl56pW.jpg","View")</f>
        <v>View</v>
      </c>
    </row>
    <row r="708" spans="1:21" ht="20.399999999999999">
      <c r="A708" s="6">
        <v>43427.387407407412</v>
      </c>
      <c r="B708" s="7" t="str">
        <f>HYPERLINK("https://twitter.com/Olguichus","@Olguichus")</f>
        <v>@Olguichus</v>
      </c>
      <c r="C708" s="8" t="s">
        <v>3048</v>
      </c>
      <c r="D708" s="9" t="s">
        <v>3049</v>
      </c>
      <c r="E708" s="10" t="str">
        <f>HYPERLINK("https://twitter.com/Olguichus/status/1065882106876895233","1065882106876895233")</f>
        <v>1065882106876895233</v>
      </c>
      <c r="F708" s="12"/>
      <c r="G708" s="12"/>
      <c r="H708" s="12"/>
      <c r="I708" s="13">
        <v>0</v>
      </c>
      <c r="J708" s="13">
        <v>2</v>
      </c>
      <c r="K708" s="14" t="str">
        <f>HYPERLINK("http://twitter.com","Twitter Web Client")</f>
        <v>Twitter Web Client</v>
      </c>
      <c r="L708" s="13">
        <v>2155</v>
      </c>
      <c r="M708" s="13">
        <v>2572</v>
      </c>
      <c r="N708" s="13">
        <v>30</v>
      </c>
      <c r="O708" s="15"/>
      <c r="P708" s="6">
        <v>40267.64471064815</v>
      </c>
      <c r="Q708" s="17" t="s">
        <v>3050</v>
      </c>
      <c r="R708" s="18" t="s">
        <v>3051</v>
      </c>
      <c r="S708" s="12"/>
      <c r="T708" s="12"/>
      <c r="U708" s="10" t="str">
        <f>HYPERLINK("https://pbs.twimg.com/profile_images/903272320621563905/xyLguwiR.jpg","View")</f>
        <v>View</v>
      </c>
    </row>
    <row r="709" spans="1:21" ht="30.6">
      <c r="A709" s="6">
        <v>43427.387395833328</v>
      </c>
      <c r="B709" s="7" t="str">
        <f>HYPERLINK("https://twitter.com/collonakiller","@collonakiller")</f>
        <v>@collonakiller</v>
      </c>
      <c r="C709" s="8" t="s">
        <v>3052</v>
      </c>
      <c r="D709" s="9" t="s">
        <v>3053</v>
      </c>
      <c r="E709" s="10" t="str">
        <f>HYPERLINK("https://twitter.com/collonakiller/status/1065882103047471104","1065882103047471104")</f>
        <v>1065882103047471104</v>
      </c>
      <c r="F709" s="12"/>
      <c r="G709" s="12"/>
      <c r="H709" s="12"/>
      <c r="I709" s="13">
        <v>0</v>
      </c>
      <c r="J709" s="13">
        <v>0</v>
      </c>
      <c r="K709" s="14" t="str">
        <f>HYPERLINK("http://twitter.com/download/android","Twitter for Android")</f>
        <v>Twitter for Android</v>
      </c>
      <c r="L709" s="13">
        <v>179</v>
      </c>
      <c r="M709" s="13">
        <v>332</v>
      </c>
      <c r="N709" s="13">
        <v>2</v>
      </c>
      <c r="O709" s="15"/>
      <c r="P709" s="6">
        <v>42012.910520833335</v>
      </c>
      <c r="Q709" s="17" t="s">
        <v>3054</v>
      </c>
      <c r="R709" s="18" t="s">
        <v>3055</v>
      </c>
      <c r="S709" s="12"/>
      <c r="T709" s="12"/>
      <c r="U709" s="10" t="str">
        <f>HYPERLINK("https://pbs.twimg.com/profile_images/1061395961707143169/umBNEoA1.jpg","View")</f>
        <v>View</v>
      </c>
    </row>
    <row r="710" spans="1:21" ht="20.399999999999999">
      <c r="A710" s="6">
        <v>43427.387118055558</v>
      </c>
      <c r="B710" s="7" t="str">
        <f>HYPERLINK("https://twitter.com/mariatad","@mariatad")</f>
        <v>@mariatad</v>
      </c>
      <c r="C710" s="8" t="s">
        <v>3056</v>
      </c>
      <c r="D710" s="9" t="s">
        <v>3057</v>
      </c>
      <c r="E710" s="10" t="str">
        <f>HYPERLINK("https://twitter.com/mariatad/status/1065882003638243328","1065882003638243328")</f>
        <v>1065882003638243328</v>
      </c>
      <c r="F710" s="12"/>
      <c r="G710" s="12"/>
      <c r="H710" s="12"/>
      <c r="I710" s="13">
        <v>0</v>
      </c>
      <c r="J710" s="13">
        <v>1</v>
      </c>
      <c r="K710" s="14" t="str">
        <f>HYPERLINK("http://twitter.com","Twitter Web Client")</f>
        <v>Twitter Web Client</v>
      </c>
      <c r="L710" s="13">
        <v>9683</v>
      </c>
      <c r="M710" s="13">
        <v>2922</v>
      </c>
      <c r="N710" s="13">
        <v>341</v>
      </c>
      <c r="O710" s="16" t="s">
        <v>26</v>
      </c>
      <c r="P710" s="6">
        <v>40108.478807870371</v>
      </c>
      <c r="Q710" s="17" t="s">
        <v>3058</v>
      </c>
      <c r="R710" s="18" t="s">
        <v>3059</v>
      </c>
      <c r="S710" s="12"/>
      <c r="T710" s="12"/>
      <c r="U710" s="10" t="str">
        <f>HYPERLINK("https://pbs.twimg.com/profile_images/1063183767609790466/tKm2-Nua.jpg","View")</f>
        <v>View</v>
      </c>
    </row>
    <row r="711" spans="1:21" ht="40.799999999999997">
      <c r="A711" s="6">
        <v>43427.385509259257</v>
      </c>
      <c r="B711" s="7" t="str">
        <f>HYPERLINK("https://twitter.com/Farodevigo","@Farodevigo")</f>
        <v>@Farodevigo</v>
      </c>
      <c r="C711" s="8" t="s">
        <v>3060</v>
      </c>
      <c r="D711" s="9" t="s">
        <v>3061</v>
      </c>
      <c r="E711" s="10" t="str">
        <f>HYPERLINK("https://twitter.com/Farodevigo/status/1065881421393420288","1065881421393420288")</f>
        <v>1065881421393420288</v>
      </c>
      <c r="F711" s="11" t="s">
        <v>3062</v>
      </c>
      <c r="G711" s="12"/>
      <c r="H711" s="12"/>
      <c r="I711" s="13">
        <v>0</v>
      </c>
      <c r="J711" s="13">
        <v>2</v>
      </c>
      <c r="K711" s="14" t="str">
        <f>HYPERLINK("https://www.hootsuite.com","Hootsuite Inc.")</f>
        <v>Hootsuite Inc.</v>
      </c>
      <c r="L711" s="13">
        <v>153371</v>
      </c>
      <c r="M711" s="13">
        <v>751</v>
      </c>
      <c r="N711" s="13">
        <v>1434</v>
      </c>
      <c r="O711" s="16" t="s">
        <v>26</v>
      </c>
      <c r="P711" s="6">
        <v>40316.670081018521</v>
      </c>
      <c r="Q711" s="17" t="s">
        <v>2277</v>
      </c>
      <c r="R711" s="18" t="s">
        <v>3063</v>
      </c>
      <c r="S711" s="11" t="s">
        <v>3064</v>
      </c>
      <c r="T711" s="12"/>
      <c r="U711" s="10" t="str">
        <f>HYPERLINK("https://pbs.twimg.com/profile_images/492588664711417856/0wPiv7WF.jpeg","View")</f>
        <v>View</v>
      </c>
    </row>
    <row r="712" spans="1:21" ht="51">
      <c r="A712" s="6">
        <v>43427.385474537034</v>
      </c>
      <c r="B712" s="7" t="str">
        <f>HYPERLINK("https://twitter.com/yoho2014","@yoho2014")</f>
        <v>@yoho2014</v>
      </c>
      <c r="C712" s="8" t="s">
        <v>3066</v>
      </c>
      <c r="D712" s="9" t="s">
        <v>3067</v>
      </c>
      <c r="E712" s="10" t="str">
        <f>HYPERLINK("https://twitter.com/yoho2014/status/1065881406843379713","1065881406843379713")</f>
        <v>1065881406843379713</v>
      </c>
      <c r="F712" s="12"/>
      <c r="G712" s="12"/>
      <c r="H712" s="12"/>
      <c r="I712" s="13">
        <v>0</v>
      </c>
      <c r="J712" s="13">
        <v>1</v>
      </c>
      <c r="K712" s="14" t="str">
        <f>HYPERLINK("http://twitter.com/download/android","Twitter for Android")</f>
        <v>Twitter for Android</v>
      </c>
      <c r="L712" s="13">
        <v>31</v>
      </c>
      <c r="M712" s="13">
        <v>15</v>
      </c>
      <c r="N712" s="13">
        <v>3</v>
      </c>
      <c r="O712" s="15"/>
      <c r="P712" s="6">
        <v>41712.533958333333</v>
      </c>
      <c r="Q712" s="12"/>
      <c r="R712" s="19"/>
      <c r="S712" s="12"/>
      <c r="T712" s="12"/>
      <c r="U712" s="10" t="str">
        <f>HYPERLINK("https://pbs.twimg.com/profile_images/953547388114915328/c1TOz2Tj.jpg","View")</f>
        <v>View</v>
      </c>
    </row>
    <row r="713" spans="1:21" ht="30.6">
      <c r="A713" s="6">
        <v>43427.385416666672</v>
      </c>
      <c r="B713" s="7" t="str">
        <f>HYPERLINK("https://twitter.com/laSextaTV","@laSextaTV")</f>
        <v>@laSextaTV</v>
      </c>
      <c r="C713" s="8" t="s">
        <v>3069</v>
      </c>
      <c r="D713" s="9" t="s">
        <v>2830</v>
      </c>
      <c r="E713" s="10" t="str">
        <f>HYPERLINK("https://twitter.com/laSextaTV/status/1065881389298532352","1065881389298532352")</f>
        <v>1065881389298532352</v>
      </c>
      <c r="F713" s="11" t="s">
        <v>3070</v>
      </c>
      <c r="G713" s="12"/>
      <c r="H713" s="12"/>
      <c r="I713" s="13">
        <v>3</v>
      </c>
      <c r="J713" s="13">
        <v>4</v>
      </c>
      <c r="K713" s="14" t="str">
        <f>HYPERLINK("http://dogtrack.es","DogTrack_Oficial")</f>
        <v>DogTrack_Oficial</v>
      </c>
      <c r="L713" s="13">
        <v>912520</v>
      </c>
      <c r="M713" s="13">
        <v>304</v>
      </c>
      <c r="N713" s="13">
        <v>5843</v>
      </c>
      <c r="O713" s="16" t="s">
        <v>26</v>
      </c>
      <c r="P713" s="6">
        <v>39877.804710648146</v>
      </c>
      <c r="Q713" s="17" t="s">
        <v>436</v>
      </c>
      <c r="R713" s="18" t="s">
        <v>3071</v>
      </c>
      <c r="S713" s="11" t="s">
        <v>3072</v>
      </c>
      <c r="T713" s="12"/>
      <c r="U713" s="10" t="str">
        <f>HYPERLINK("https://pbs.twimg.com/profile_images/898966361426231296/0sS0RzFh.jpg","View")</f>
        <v>View</v>
      </c>
    </row>
    <row r="714" spans="1:21" ht="30.6">
      <c r="A714" s="6">
        <v>43427.385104166664</v>
      </c>
      <c r="B714" s="7" t="str">
        <f>HYPERLINK("https://twitter.com/IEscursell","@IEscursell")</f>
        <v>@IEscursell</v>
      </c>
      <c r="C714" s="8" t="s">
        <v>3073</v>
      </c>
      <c r="D714" s="9" t="s">
        <v>3074</v>
      </c>
      <c r="E714" s="10" t="str">
        <f>HYPERLINK("https://twitter.com/IEscursell/status/1065881273489661952","1065881273489661952")</f>
        <v>1065881273489661952</v>
      </c>
      <c r="F714" s="12"/>
      <c r="G714" s="12"/>
      <c r="H714" s="12"/>
      <c r="I714" s="13">
        <v>0</v>
      </c>
      <c r="J714" s="13">
        <v>1</v>
      </c>
      <c r="K714" s="14" t="str">
        <f t="shared" ref="K714:K715" si="123">HYPERLINK("http://twitter.com/download/android","Twitter for Android")</f>
        <v>Twitter for Android</v>
      </c>
      <c r="L714" s="13">
        <v>730</v>
      </c>
      <c r="M714" s="13">
        <v>303</v>
      </c>
      <c r="N714" s="13">
        <v>14</v>
      </c>
      <c r="O714" s="15"/>
      <c r="P714" s="6">
        <v>41935.523217592592</v>
      </c>
      <c r="Q714" s="17" t="s">
        <v>3075</v>
      </c>
      <c r="R714" s="18" t="s">
        <v>3076</v>
      </c>
      <c r="S714" s="12"/>
      <c r="T714" s="12"/>
      <c r="U714" s="10" t="str">
        <f>HYPERLINK("https://pbs.twimg.com/profile_images/974569212852277248/WceBObbL.jpg","View")</f>
        <v>View</v>
      </c>
    </row>
    <row r="715" spans="1:21" ht="20.399999999999999">
      <c r="A715" s="6">
        <v>43427.384687500002</v>
      </c>
      <c r="B715" s="7" t="str">
        <f>HYPERLINK("https://twitter.com/MellamanShelby","@MellamanShelby")</f>
        <v>@MellamanShelby</v>
      </c>
      <c r="C715" s="8" t="s">
        <v>3077</v>
      </c>
      <c r="D715" s="9" t="s">
        <v>3078</v>
      </c>
      <c r="E715" s="10" t="str">
        <f>HYPERLINK("https://twitter.com/MellamanShelby/status/1065881122784124928","1065881122784124928")</f>
        <v>1065881122784124928</v>
      </c>
      <c r="F715" s="12"/>
      <c r="G715" s="12"/>
      <c r="H715" s="12"/>
      <c r="I715" s="13">
        <v>1</v>
      </c>
      <c r="J715" s="13">
        <v>4</v>
      </c>
      <c r="K715" s="14" t="str">
        <f t="shared" si="123"/>
        <v>Twitter for Android</v>
      </c>
      <c r="L715" s="13">
        <v>2735</v>
      </c>
      <c r="M715" s="13">
        <v>1088</v>
      </c>
      <c r="N715" s="13">
        <v>13</v>
      </c>
      <c r="O715" s="15"/>
      <c r="P715" s="6">
        <v>41807.431747685187</v>
      </c>
      <c r="Q715" s="17" t="s">
        <v>277</v>
      </c>
      <c r="R715" s="18" t="s">
        <v>3079</v>
      </c>
      <c r="S715" s="12"/>
      <c r="T715" s="12"/>
      <c r="U715" s="10" t="str">
        <f>HYPERLINK("https://pbs.twimg.com/profile_images/1056597835607621634/SmZO8xAP.jpg","View")</f>
        <v>View</v>
      </c>
    </row>
    <row r="716" spans="1:21" ht="30.6">
      <c r="A716" s="6">
        <v>43427.384432870371</v>
      </c>
      <c r="B716" s="7" t="str">
        <f>HYPERLINK("https://twitter.com/prensa_ec","@prensa_ec")</f>
        <v>@prensa_ec</v>
      </c>
      <c r="C716" s="8" t="s">
        <v>3080</v>
      </c>
      <c r="D716" s="9" t="s">
        <v>3081</v>
      </c>
      <c r="E716" s="10" t="str">
        <f>HYPERLINK("https://twitter.com/prensa_ec/status/1065881030329081856","1065881030329081856")</f>
        <v>1065881030329081856</v>
      </c>
      <c r="F716" s="11" t="s">
        <v>3082</v>
      </c>
      <c r="G716" s="12"/>
      <c r="H716" s="12"/>
      <c r="I716" s="13">
        <v>0</v>
      </c>
      <c r="J716" s="13">
        <v>0</v>
      </c>
      <c r="K716" s="14" t="str">
        <f t="shared" ref="K716:K719" si="124">HYPERLINK("https://ifttt.com","IFTTT")</f>
        <v>IFTTT</v>
      </c>
      <c r="L716" s="13">
        <v>2126</v>
      </c>
      <c r="M716" s="13">
        <v>634</v>
      </c>
      <c r="N716" s="13">
        <v>94</v>
      </c>
      <c r="O716" s="15"/>
      <c r="P716" s="6">
        <v>41713.661550925928</v>
      </c>
      <c r="Q716" s="17" t="s">
        <v>3083</v>
      </c>
      <c r="R716" s="18" t="s">
        <v>3084</v>
      </c>
      <c r="S716" s="12"/>
      <c r="T716" s="12"/>
      <c r="U716" s="10" t="str">
        <f>HYPERLINK("https://pbs.twimg.com/profile_images/450843373411110912/F8Z-Pi3G.jpeg","View")</f>
        <v>View</v>
      </c>
    </row>
    <row r="717" spans="1:21" ht="20.399999999999999">
      <c r="A717" s="6">
        <v>43427.384375000001</v>
      </c>
      <c r="B717" s="7" t="str">
        <f t="shared" ref="B717:B719" si="125">HYPERLINK("https://twitter.com/ondacero","@ondacero")</f>
        <v>@ondacero</v>
      </c>
      <c r="C717" s="8" t="s">
        <v>3085</v>
      </c>
      <c r="D717" s="9" t="s">
        <v>2796</v>
      </c>
      <c r="E717" s="10" t="str">
        <f>HYPERLINK("https://twitter.com/ondacero/status/1065881008023748608","1065881008023748608")</f>
        <v>1065881008023748608</v>
      </c>
      <c r="F717" s="11" t="s">
        <v>3086</v>
      </c>
      <c r="G717" s="11" t="s">
        <v>3087</v>
      </c>
      <c r="H717" s="12"/>
      <c r="I717" s="13">
        <v>0</v>
      </c>
      <c r="J717" s="13">
        <v>0</v>
      </c>
      <c r="K717" s="14" t="str">
        <f t="shared" si="124"/>
        <v>IFTTT</v>
      </c>
      <c r="L717" s="13">
        <v>2847</v>
      </c>
      <c r="M717" s="13">
        <v>1395</v>
      </c>
      <c r="N717" s="13">
        <v>127</v>
      </c>
      <c r="O717" s="15"/>
      <c r="P717" s="6">
        <v>39706.777685185181</v>
      </c>
      <c r="Q717" s="12"/>
      <c r="R717" s="19"/>
      <c r="S717" s="12"/>
      <c r="T717" s="12"/>
      <c r="U717" s="10" t="str">
        <f t="shared" ref="U717:U719" si="126">HYPERLINK("https://pbs.twimg.com/profile_images/378800000546236098/4b86a015936c5c0b37d1aea046acb0b5.jpeg","View")</f>
        <v>View</v>
      </c>
    </row>
    <row r="718" spans="1:21" ht="20.399999999999999">
      <c r="A718" s="6">
        <v>43427.384351851855</v>
      </c>
      <c r="B718" s="7" t="str">
        <f t="shared" si="125"/>
        <v>@ondacero</v>
      </c>
      <c r="C718" s="8" t="s">
        <v>3085</v>
      </c>
      <c r="D718" s="9" t="s">
        <v>3088</v>
      </c>
      <c r="E718" s="10" t="str">
        <f>HYPERLINK("https://twitter.com/ondacero/status/1065881003426791424","1065881003426791424")</f>
        <v>1065881003426791424</v>
      </c>
      <c r="F718" s="11" t="s">
        <v>3089</v>
      </c>
      <c r="G718" s="11" t="s">
        <v>3090</v>
      </c>
      <c r="H718" s="12"/>
      <c r="I718" s="13">
        <v>0</v>
      </c>
      <c r="J718" s="13">
        <v>0</v>
      </c>
      <c r="K718" s="14" t="str">
        <f t="shared" si="124"/>
        <v>IFTTT</v>
      </c>
      <c r="L718" s="13">
        <v>2847</v>
      </c>
      <c r="M718" s="13">
        <v>1395</v>
      </c>
      <c r="N718" s="13">
        <v>127</v>
      </c>
      <c r="O718" s="15"/>
      <c r="P718" s="6">
        <v>39706.777685185181</v>
      </c>
      <c r="Q718" s="12"/>
      <c r="R718" s="19"/>
      <c r="S718" s="12"/>
      <c r="T718" s="12"/>
      <c r="U718" s="10" t="str">
        <f t="shared" si="126"/>
        <v>View</v>
      </c>
    </row>
    <row r="719" spans="1:21" ht="20.399999999999999">
      <c r="A719" s="6">
        <v>43427.384340277778</v>
      </c>
      <c r="B719" s="7" t="str">
        <f t="shared" si="125"/>
        <v>@ondacero</v>
      </c>
      <c r="C719" s="8" t="s">
        <v>3085</v>
      </c>
      <c r="D719" s="9" t="s">
        <v>1681</v>
      </c>
      <c r="E719" s="10" t="str">
        <f>HYPERLINK("https://twitter.com/ondacero/status/1065880997319925760","1065880997319925760")</f>
        <v>1065880997319925760</v>
      </c>
      <c r="F719" s="11" t="s">
        <v>3091</v>
      </c>
      <c r="G719" s="11" t="s">
        <v>3092</v>
      </c>
      <c r="H719" s="12"/>
      <c r="I719" s="13">
        <v>0</v>
      </c>
      <c r="J719" s="13">
        <v>0</v>
      </c>
      <c r="K719" s="14" t="str">
        <f t="shared" si="124"/>
        <v>IFTTT</v>
      </c>
      <c r="L719" s="13">
        <v>2847</v>
      </c>
      <c r="M719" s="13">
        <v>1395</v>
      </c>
      <c r="N719" s="13">
        <v>127</v>
      </c>
      <c r="O719" s="15"/>
      <c r="P719" s="6">
        <v>39706.777685185181</v>
      </c>
      <c r="Q719" s="12"/>
      <c r="R719" s="19"/>
      <c r="S719" s="12"/>
      <c r="T719" s="12"/>
      <c r="U719" s="10" t="str">
        <f t="shared" si="126"/>
        <v>View</v>
      </c>
    </row>
    <row r="720" spans="1:21" ht="40.799999999999997">
      <c r="A720" s="6">
        <v>43427.384270833332</v>
      </c>
      <c r="B720" s="7" t="str">
        <f>HYPERLINK("https://twitter.com/fernandollopis","@fernandollopis")</f>
        <v>@fernandollopis</v>
      </c>
      <c r="C720" s="8" t="s">
        <v>3093</v>
      </c>
      <c r="D720" s="9" t="s">
        <v>3094</v>
      </c>
      <c r="E720" s="10" t="str">
        <f>HYPERLINK("https://twitter.com/fernandollopis/status/1065880970765705217","1065880970765705217")</f>
        <v>1065880970765705217</v>
      </c>
      <c r="F720" s="11" t="s">
        <v>3095</v>
      </c>
      <c r="G720" s="12"/>
      <c r="H720" s="12"/>
      <c r="I720" s="13">
        <v>3</v>
      </c>
      <c r="J720" s="13">
        <v>4</v>
      </c>
      <c r="K720" s="14" t="str">
        <f t="shared" ref="K720:K721" si="127">HYPERLINK("http://twitter.com/download/android","Twitter for Android")</f>
        <v>Twitter for Android</v>
      </c>
      <c r="L720" s="13">
        <v>4546</v>
      </c>
      <c r="M720" s="13">
        <v>2433</v>
      </c>
      <c r="N720" s="13">
        <v>114</v>
      </c>
      <c r="O720" s="15"/>
      <c r="P720" s="6">
        <v>40372.032060185185</v>
      </c>
      <c r="Q720" s="17" t="s">
        <v>2710</v>
      </c>
      <c r="R720" s="18" t="s">
        <v>3096</v>
      </c>
      <c r="S720" s="11" t="s">
        <v>3097</v>
      </c>
      <c r="T720" s="12"/>
      <c r="U720" s="10" t="str">
        <f>HYPERLINK("https://pbs.twimg.com/profile_images/822039622071029761/eOTiqkL9.jpg","View")</f>
        <v>View</v>
      </c>
    </row>
    <row r="721" spans="1:21" ht="40.799999999999997">
      <c r="A721" s="6">
        <v>43427.384085648147</v>
      </c>
      <c r="B721" s="7" t="str">
        <f>HYPERLINK("https://twitter.com/martinxuce","@martinxuce")</f>
        <v>@martinxuce</v>
      </c>
      <c r="C721" s="8" t="s">
        <v>3098</v>
      </c>
      <c r="D721" s="9" t="s">
        <v>3099</v>
      </c>
      <c r="E721" s="10" t="str">
        <f>HYPERLINK("https://twitter.com/martinxuce/status/1065880904852213760","1065880904852213760")</f>
        <v>1065880904852213760</v>
      </c>
      <c r="F721" s="12"/>
      <c r="G721" s="12"/>
      <c r="H721" s="12"/>
      <c r="I721" s="13">
        <v>0</v>
      </c>
      <c r="J721" s="13">
        <v>0</v>
      </c>
      <c r="K721" s="14" t="str">
        <f t="shared" si="127"/>
        <v>Twitter for Android</v>
      </c>
      <c r="L721" s="13">
        <v>451</v>
      </c>
      <c r="M721" s="13">
        <v>589</v>
      </c>
      <c r="N721" s="13">
        <v>3</v>
      </c>
      <c r="O721" s="15"/>
      <c r="P721" s="6">
        <v>41096.872743055559</v>
      </c>
      <c r="Q721" s="17" t="s">
        <v>3100</v>
      </c>
      <c r="R721" s="18" t="s">
        <v>3101</v>
      </c>
      <c r="S721" s="11" t="s">
        <v>3102</v>
      </c>
      <c r="T721" s="12"/>
      <c r="U721" s="10" t="str">
        <f>HYPERLINK("https://pbs.twimg.com/profile_images/1055594907375730688/Gs0sFfVi.jpg","View")</f>
        <v>View</v>
      </c>
    </row>
    <row r="722" spans="1:21" ht="30.6">
      <c r="A722" s="6">
        <v>43427.383877314816</v>
      </c>
      <c r="B722" s="7" t="str">
        <f>HYPERLINK("https://twitter.com/elimparciales","@elimparciales")</f>
        <v>@elimparciales</v>
      </c>
      <c r="C722" s="8" t="s">
        <v>3103</v>
      </c>
      <c r="D722" s="9" t="s">
        <v>3104</v>
      </c>
      <c r="E722" s="10" t="str">
        <f>HYPERLINK("https://twitter.com/elimparciales/status/1065880828872413185","1065880828872413185")</f>
        <v>1065880828872413185</v>
      </c>
      <c r="F722" s="17" t="s">
        <v>3105</v>
      </c>
      <c r="G722" s="11" t="s">
        <v>3106</v>
      </c>
      <c r="H722" s="12"/>
      <c r="I722" s="13">
        <v>0</v>
      </c>
      <c r="J722" s="13">
        <v>0</v>
      </c>
      <c r="K722" s="14" t="str">
        <f>HYPERLINK("http://twitter.com","Twitter Web Client")</f>
        <v>Twitter Web Client</v>
      </c>
      <c r="L722" s="13">
        <v>11552</v>
      </c>
      <c r="M722" s="13">
        <v>369</v>
      </c>
      <c r="N722" s="13">
        <v>537</v>
      </c>
      <c r="O722" s="15"/>
      <c r="P722" s="6">
        <v>39920.357499999998</v>
      </c>
      <c r="Q722" s="17" t="s">
        <v>28</v>
      </c>
      <c r="R722" s="18" t="s">
        <v>3107</v>
      </c>
      <c r="S722" s="11" t="s">
        <v>3108</v>
      </c>
      <c r="T722" s="12"/>
      <c r="U722" s="10" t="str">
        <f>HYPERLINK("https://pbs.twimg.com/profile_images/974262443810742272/5ZVdtCJY.jpg","View")</f>
        <v>View</v>
      </c>
    </row>
    <row r="723" spans="1:21" ht="30.6">
      <c r="A723" s="6">
        <v>43427.383796296301</v>
      </c>
      <c r="B723" s="7" t="str">
        <f>HYPERLINK("https://twitter.com/franciscoasis77","@franciscoasis77")</f>
        <v>@franciscoasis77</v>
      </c>
      <c r="C723" s="8" t="s">
        <v>3109</v>
      </c>
      <c r="D723" s="9" t="s">
        <v>3110</v>
      </c>
      <c r="E723" s="10" t="str">
        <f>HYPERLINK("https://twitter.com/franciscoasis77/status/1065880798514036736","1065880798514036736")</f>
        <v>1065880798514036736</v>
      </c>
      <c r="F723" s="12"/>
      <c r="G723" s="12"/>
      <c r="H723" s="12"/>
      <c r="I723" s="13">
        <v>0</v>
      </c>
      <c r="J723" s="13">
        <v>0</v>
      </c>
      <c r="K723" s="14" t="str">
        <f>HYPERLINK("http://www.facebook.com/twitter","Facebook")</f>
        <v>Facebook</v>
      </c>
      <c r="L723" s="13">
        <v>28</v>
      </c>
      <c r="M723" s="13">
        <v>487</v>
      </c>
      <c r="N723" s="13">
        <v>0</v>
      </c>
      <c r="O723" s="15"/>
      <c r="P723" s="6">
        <v>42071.882997685185</v>
      </c>
      <c r="Q723" s="17" t="s">
        <v>3111</v>
      </c>
      <c r="R723" s="18" t="s">
        <v>3112</v>
      </c>
      <c r="S723" s="12"/>
      <c r="T723" s="12"/>
      <c r="U723" s="10" t="str">
        <f>HYPERLINK("https://pbs.twimg.com/profile_images/574664881649012736/VJmqcqig.jpeg","View")</f>
        <v>View</v>
      </c>
    </row>
    <row r="724" spans="1:21" ht="30.6">
      <c r="A724" s="6">
        <v>43427.383379629631</v>
      </c>
      <c r="B724" s="7" t="str">
        <f>HYPERLINK("https://twitter.com/pallaron12","@pallaron12")</f>
        <v>@pallaron12</v>
      </c>
      <c r="C724" s="8" t="s">
        <v>2284</v>
      </c>
      <c r="D724" s="9" t="s">
        <v>3113</v>
      </c>
      <c r="E724" s="10" t="str">
        <f>HYPERLINK("https://twitter.com/pallaron12/status/1065880648022405121","1065880648022405121")</f>
        <v>1065880648022405121</v>
      </c>
      <c r="F724" s="11" t="s">
        <v>3114</v>
      </c>
      <c r="G724" s="12"/>
      <c r="H724" s="12"/>
      <c r="I724" s="13">
        <v>0</v>
      </c>
      <c r="J724" s="13">
        <v>0</v>
      </c>
      <c r="K724" s="14" t="str">
        <f>HYPERLINK("http://twitter.com/download/android","Twitter for Android")</f>
        <v>Twitter for Android</v>
      </c>
      <c r="L724" s="13">
        <v>1412</v>
      </c>
      <c r="M724" s="13">
        <v>501</v>
      </c>
      <c r="N724" s="13">
        <v>8</v>
      </c>
      <c r="O724" s="15"/>
      <c r="P724" s="6">
        <v>41854.66134259259</v>
      </c>
      <c r="Q724" s="17" t="s">
        <v>2285</v>
      </c>
      <c r="R724" s="18" t="s">
        <v>2286</v>
      </c>
      <c r="S724" s="12"/>
      <c r="T724" s="12"/>
      <c r="U724" s="10" t="str">
        <f>HYPERLINK("https://pbs.twimg.com/profile_images/1064713832633896961/NkwZ7D9D.jpg","View")</f>
        <v>View</v>
      </c>
    </row>
    <row r="725" spans="1:21" ht="20.399999999999999">
      <c r="A725" s="6">
        <v>43427.383333333331</v>
      </c>
      <c r="B725" s="7" t="str">
        <f>HYPERLINK("https://twitter.com/elconfidencial","@elconfidencial")</f>
        <v>@elconfidencial</v>
      </c>
      <c r="C725" s="8" t="s">
        <v>3115</v>
      </c>
      <c r="D725" s="9" t="s">
        <v>3116</v>
      </c>
      <c r="E725" s="10" t="str">
        <f>HYPERLINK("https://twitter.com/elconfidencial/status/1065880631471525888","1065880631471525888")</f>
        <v>1065880631471525888</v>
      </c>
      <c r="F725" s="11" t="s">
        <v>3117</v>
      </c>
      <c r="G725" s="12"/>
      <c r="H725" s="12"/>
      <c r="I725" s="13">
        <v>7</v>
      </c>
      <c r="J725" s="13">
        <v>5</v>
      </c>
      <c r="K725" s="14" t="str">
        <f>HYPERLINK("https://about.twitter.com/products/tweetdeck","TweetDeck")</f>
        <v>TweetDeck</v>
      </c>
      <c r="L725" s="13">
        <v>763076</v>
      </c>
      <c r="M725" s="13">
        <v>183</v>
      </c>
      <c r="N725" s="13">
        <v>11086</v>
      </c>
      <c r="O725" s="16" t="s">
        <v>26</v>
      </c>
      <c r="P725" s="6">
        <v>39759.468657407408</v>
      </c>
      <c r="Q725" s="17" t="s">
        <v>3118</v>
      </c>
      <c r="R725" s="18" t="s">
        <v>3119</v>
      </c>
      <c r="S725" s="11" t="s">
        <v>2272</v>
      </c>
      <c r="T725" s="12"/>
      <c r="U725" s="10" t="str">
        <f>HYPERLINK("https://pbs.twimg.com/profile_images/831498645476356097/TVsVGq4W.jpg","View")</f>
        <v>View</v>
      </c>
    </row>
    <row r="726" spans="1:21" ht="20.399999999999999">
      <c r="A726" s="6">
        <v>43427.382974537039</v>
      </c>
      <c r="B726" s="7" t="str">
        <f>HYPERLINK("https://twitter.com/bravospalante","@bravospalante")</f>
        <v>@bravospalante</v>
      </c>
      <c r="C726" s="8" t="s">
        <v>3120</v>
      </c>
      <c r="D726" s="9" t="s">
        <v>3121</v>
      </c>
      <c r="E726" s="10" t="str">
        <f>HYPERLINK("https://twitter.com/bravospalante/status/1065880503495127040","1065880503495127040")</f>
        <v>1065880503495127040</v>
      </c>
      <c r="F726" s="11" t="s">
        <v>3122</v>
      </c>
      <c r="G726" s="12"/>
      <c r="H726" s="12"/>
      <c r="I726" s="13">
        <v>0</v>
      </c>
      <c r="J726" s="13">
        <v>0</v>
      </c>
      <c r="K726" s="14" t="str">
        <f t="shared" ref="K726:K727" si="128">HYPERLINK("https://ifttt.com","IFTTT")</f>
        <v>IFTTT</v>
      </c>
      <c r="L726" s="13">
        <v>54</v>
      </c>
      <c r="M726" s="13">
        <v>215</v>
      </c>
      <c r="N726" s="13">
        <v>0</v>
      </c>
      <c r="O726" s="15"/>
      <c r="P726" s="6">
        <v>42894.9847337963</v>
      </c>
      <c r="Q726" s="12"/>
      <c r="R726" s="18" t="s">
        <v>3123</v>
      </c>
      <c r="S726" s="12"/>
      <c r="T726" s="12"/>
      <c r="U726" s="10" t="str">
        <f>HYPERLINK("https://pbs.twimg.com/profile_images/915053690494517248/y_iFqEks.jpg","View")</f>
        <v>View</v>
      </c>
    </row>
    <row r="727" spans="1:21" ht="20.399999999999999">
      <c r="A727" s="6">
        <v>43427.382395833338</v>
      </c>
      <c r="B727" s="7" t="str">
        <f>HYPERLINK("https://twitter.com/vitorialocal","@vitorialocal")</f>
        <v>@vitorialocal</v>
      </c>
      <c r="C727" s="8" t="s">
        <v>3124</v>
      </c>
      <c r="D727" s="9" t="s">
        <v>3125</v>
      </c>
      <c r="E727" s="10" t="str">
        <f>HYPERLINK("https://twitter.com/vitorialocal/status/1065880293800841217","1065880293800841217")</f>
        <v>1065880293800841217</v>
      </c>
      <c r="F727" s="11" t="s">
        <v>3126</v>
      </c>
      <c r="G727" s="12"/>
      <c r="H727" s="12"/>
      <c r="I727" s="13">
        <v>0</v>
      </c>
      <c r="J727" s="13">
        <v>0</v>
      </c>
      <c r="K727" s="14" t="str">
        <f t="shared" si="128"/>
        <v>IFTTT</v>
      </c>
      <c r="L727" s="13">
        <v>488</v>
      </c>
      <c r="M727" s="13">
        <v>67</v>
      </c>
      <c r="N727" s="13">
        <v>16</v>
      </c>
      <c r="O727" s="15"/>
      <c r="P727" s="6">
        <v>41894.613750000004</v>
      </c>
      <c r="Q727" s="17" t="s">
        <v>3127</v>
      </c>
      <c r="R727" s="18" t="s">
        <v>3128</v>
      </c>
      <c r="S727" s="12"/>
      <c r="T727" s="12"/>
      <c r="U727" s="10" t="str">
        <f>HYPERLINK("https://pbs.twimg.com/profile_images/510408884364644353/bqI2lxx2.png","View")</f>
        <v>View</v>
      </c>
    </row>
    <row r="728" spans="1:21" ht="30.6">
      <c r="A728" s="6">
        <v>43427.381840277776</v>
      </c>
      <c r="B728" s="7" t="str">
        <f>HYPERLINK("https://twitter.com/LasMananas_rne","@LasMananas_rne")</f>
        <v>@LasMananas_rne</v>
      </c>
      <c r="C728" s="8" t="s">
        <v>2888</v>
      </c>
      <c r="D728" s="9" t="s">
        <v>3129</v>
      </c>
      <c r="E728" s="10" t="str">
        <f>HYPERLINK("https://twitter.com/LasMananas_rne/status/1065880091450855424","1065880091450855424")</f>
        <v>1065880091450855424</v>
      </c>
      <c r="F728" s="11" t="s">
        <v>3130</v>
      </c>
      <c r="G728" s="11" t="s">
        <v>3131</v>
      </c>
      <c r="H728" s="12"/>
      <c r="I728" s="13">
        <v>2</v>
      </c>
      <c r="J728" s="13">
        <v>1</v>
      </c>
      <c r="K728" s="14" t="str">
        <f>HYPERLINK("http://twitter.com","Twitter Web Client")</f>
        <v>Twitter Web Client</v>
      </c>
      <c r="L728" s="13">
        <v>17786</v>
      </c>
      <c r="M728" s="13">
        <v>577</v>
      </c>
      <c r="N728" s="13">
        <v>322</v>
      </c>
      <c r="O728" s="15"/>
      <c r="P728" s="6">
        <v>41516.791238425925</v>
      </c>
      <c r="Q728" s="17" t="s">
        <v>72</v>
      </c>
      <c r="R728" s="18" t="s">
        <v>2891</v>
      </c>
      <c r="S728" s="11" t="s">
        <v>2892</v>
      </c>
      <c r="T728" s="12"/>
      <c r="U728" s="10" t="str">
        <f>HYPERLINK("https://pbs.twimg.com/profile_images/1040196438595129346/t62gpiGh.jpg","View")</f>
        <v>View</v>
      </c>
    </row>
    <row r="729" spans="1:21" ht="51">
      <c r="A729" s="6">
        <v>43427.381840277776</v>
      </c>
      <c r="B729" s="7" t="str">
        <f>HYPERLINK("https://twitter.com/Urbano24horas","@Urbano24horas")</f>
        <v>@Urbano24horas</v>
      </c>
      <c r="C729" s="20" t="s">
        <v>3132</v>
      </c>
      <c r="D729" s="9" t="s">
        <v>3133</v>
      </c>
      <c r="E729" s="10" t="str">
        <f>HYPERLINK("https://twitter.com/Urbano24horas/status/1065880091207626752","1065880091207626752")</f>
        <v>1065880091207626752</v>
      </c>
      <c r="F729" s="11" t="s">
        <v>3134</v>
      </c>
      <c r="G729" s="12"/>
      <c r="H729" s="12"/>
      <c r="I729" s="13">
        <v>0</v>
      </c>
      <c r="J729" s="13">
        <v>0</v>
      </c>
      <c r="K729" s="14" t="str">
        <f>HYPERLINK("https://ifttt.com","IFTTT")</f>
        <v>IFTTT</v>
      </c>
      <c r="L729" s="13">
        <v>1681</v>
      </c>
      <c r="M729" s="13">
        <v>780</v>
      </c>
      <c r="N729" s="13">
        <v>69</v>
      </c>
      <c r="O729" s="15"/>
      <c r="P729" s="6">
        <v>41994.366527777776</v>
      </c>
      <c r="Q729" s="17" t="s">
        <v>3135</v>
      </c>
      <c r="R729" s="18" t="s">
        <v>3137</v>
      </c>
      <c r="S729" s="11" t="s">
        <v>3138</v>
      </c>
      <c r="T729" s="12"/>
      <c r="U729" s="10" t="str">
        <f>HYPERLINK("https://pbs.twimg.com/profile_images/916763216499195904/HQKS01DA.jpg","View")</f>
        <v>View</v>
      </c>
    </row>
    <row r="730" spans="1:21" ht="40.799999999999997">
      <c r="A730" s="6">
        <v>43427.381747685184</v>
      </c>
      <c r="B730" s="7" t="str">
        <f>HYPERLINK("https://twitter.com/2015Mariscal","@2015Mariscal")</f>
        <v>@2015Mariscal</v>
      </c>
      <c r="C730" s="8" t="s">
        <v>3139</v>
      </c>
      <c r="D730" s="9" t="s">
        <v>3140</v>
      </c>
      <c r="E730" s="10" t="str">
        <f>HYPERLINK("https://twitter.com/2015Mariscal/status/1065880056692658176","1065880056692658176")</f>
        <v>1065880056692658176</v>
      </c>
      <c r="F730" s="12"/>
      <c r="G730" s="12"/>
      <c r="H730" s="12"/>
      <c r="I730" s="13">
        <v>0</v>
      </c>
      <c r="J730" s="13">
        <v>0</v>
      </c>
      <c r="K730" s="14" t="str">
        <f>HYPERLINK("http://twitter.com/download/iphone","Twitter for iPhone")</f>
        <v>Twitter for iPhone</v>
      </c>
      <c r="L730" s="13">
        <v>2123</v>
      </c>
      <c r="M730" s="13">
        <v>341</v>
      </c>
      <c r="N730" s="13">
        <v>36</v>
      </c>
      <c r="O730" s="16" t="s">
        <v>26</v>
      </c>
      <c r="P730" s="6">
        <v>42063.344560185185</v>
      </c>
      <c r="Q730" s="17" t="s">
        <v>3141</v>
      </c>
      <c r="R730" s="18" t="s">
        <v>3142</v>
      </c>
      <c r="S730" s="11" t="s">
        <v>3143</v>
      </c>
      <c r="T730" s="12"/>
      <c r="U730" s="10" t="str">
        <f>HYPERLINK("https://pbs.twimg.com/profile_images/1053583574300004352/azFvMDLN.jpg","View")</f>
        <v>View</v>
      </c>
    </row>
    <row r="731" spans="1:21" ht="30.6">
      <c r="A731" s="6">
        <v>43427.381701388891</v>
      </c>
      <c r="B731" s="7" t="str">
        <f>HYPERLINK("https://twitter.com/euribem","@euribem")</f>
        <v>@euribem</v>
      </c>
      <c r="C731" s="8" t="s">
        <v>3144</v>
      </c>
      <c r="D731" s="9" t="s">
        <v>3145</v>
      </c>
      <c r="E731" s="10" t="str">
        <f>HYPERLINK("https://twitter.com/euribem/status/1065880042272669696","1065880042272669696")</f>
        <v>1065880042272669696</v>
      </c>
      <c r="F731" s="17" t="s">
        <v>3146</v>
      </c>
      <c r="G731" s="12"/>
      <c r="H731" s="12"/>
      <c r="I731" s="13">
        <v>0</v>
      </c>
      <c r="J731" s="13">
        <v>0</v>
      </c>
      <c r="K731" s="14" t="str">
        <f t="shared" ref="K731:K733" si="129">HYPERLINK("http://twitter.com/download/android","Twitter for Android")</f>
        <v>Twitter for Android</v>
      </c>
      <c r="L731" s="13">
        <v>2220</v>
      </c>
      <c r="M731" s="13">
        <v>1895</v>
      </c>
      <c r="N731" s="13">
        <v>102</v>
      </c>
      <c r="O731" s="15"/>
      <c r="P731" s="6">
        <v>40357.50681712963</v>
      </c>
      <c r="Q731" s="17" t="s">
        <v>3147</v>
      </c>
      <c r="R731" s="18" t="s">
        <v>3148</v>
      </c>
      <c r="S731" s="12"/>
      <c r="T731" s="12"/>
      <c r="U731" s="10" t="str">
        <f>HYPERLINK("https://pbs.twimg.com/profile_images/1040257546886569985/126helWN.jpg","View")</f>
        <v>View</v>
      </c>
    </row>
    <row r="732" spans="1:21" ht="20.399999999999999">
      <c r="A732" s="6">
        <v>43427.381631944445</v>
      </c>
      <c r="B732" s="7" t="str">
        <f>HYPERLINK("https://twitter.com/jlamsfus","@jlamsfus")</f>
        <v>@jlamsfus</v>
      </c>
      <c r="C732" s="8" t="s">
        <v>3149</v>
      </c>
      <c r="D732" s="9" t="s">
        <v>3150</v>
      </c>
      <c r="E732" s="10" t="str">
        <f>HYPERLINK("https://twitter.com/jlamsfus/status/1065880016439975936","1065880016439975936")</f>
        <v>1065880016439975936</v>
      </c>
      <c r="F732" s="12"/>
      <c r="G732" s="12"/>
      <c r="H732" s="12"/>
      <c r="I732" s="13">
        <v>0</v>
      </c>
      <c r="J732" s="13">
        <v>0</v>
      </c>
      <c r="K732" s="14" t="str">
        <f t="shared" si="129"/>
        <v>Twitter for Android</v>
      </c>
      <c r="L732" s="13">
        <v>257</v>
      </c>
      <c r="M732" s="13">
        <v>353</v>
      </c>
      <c r="N732" s="13">
        <v>11</v>
      </c>
      <c r="O732" s="15"/>
      <c r="P732" s="6">
        <v>40530.031863425924</v>
      </c>
      <c r="Q732" s="17" t="s">
        <v>3151</v>
      </c>
      <c r="R732" s="18" t="s">
        <v>3152</v>
      </c>
      <c r="S732" s="12"/>
      <c r="T732" s="12"/>
      <c r="U732" s="10" t="str">
        <f>HYPERLINK("https://pbs.twimg.com/profile_images/440433774552023040/Dje1qNGE.jpeg","View")</f>
        <v>View</v>
      </c>
    </row>
    <row r="733" spans="1:21" ht="40.799999999999997">
      <c r="A733" s="6">
        <v>43427.381516203706</v>
      </c>
      <c r="B733" s="7" t="str">
        <f>HYPERLINK("https://twitter.com/GJ_HdadCarmen","@GJ_HdadCarmen")</f>
        <v>@GJ_HdadCarmen</v>
      </c>
      <c r="C733" s="8" t="s">
        <v>3153</v>
      </c>
      <c r="D733" s="9" t="s">
        <v>3154</v>
      </c>
      <c r="E733" s="10" t="str">
        <f>HYPERLINK("https://twitter.com/GJ_HdadCarmen/status/1065879971720237056","1065879971720237056")</f>
        <v>1065879971720237056</v>
      </c>
      <c r="F733" s="12"/>
      <c r="G733" s="11" t="s">
        <v>3155</v>
      </c>
      <c r="H733" s="12"/>
      <c r="I733" s="13">
        <v>7</v>
      </c>
      <c r="J733" s="13">
        <v>10</v>
      </c>
      <c r="K733" s="14" t="str">
        <f t="shared" si="129"/>
        <v>Twitter for Android</v>
      </c>
      <c r="L733" s="13">
        <v>1139</v>
      </c>
      <c r="M733" s="13">
        <v>166</v>
      </c>
      <c r="N733" s="13">
        <v>6</v>
      </c>
      <c r="O733" s="15"/>
      <c r="P733" s="6">
        <v>41446.599247685182</v>
      </c>
      <c r="Q733" s="17" t="s">
        <v>3156</v>
      </c>
      <c r="R733" s="18" t="s">
        <v>3157</v>
      </c>
      <c r="S733" s="11" t="s">
        <v>3158</v>
      </c>
      <c r="T733" s="12"/>
      <c r="U733" s="10" t="str">
        <f>HYPERLINK("https://pbs.twimg.com/profile_images/669212383324303362/_uOPW7zX.jpg","View")</f>
        <v>View</v>
      </c>
    </row>
    <row r="734" spans="1:21" ht="20.399999999999999">
      <c r="A734" s="6">
        <v>43427.381192129629</v>
      </c>
      <c r="B734" s="7" t="str">
        <f>HYPERLINK("https://twitter.com/Crisesquivi","@Crisesquivi")</f>
        <v>@Crisesquivi</v>
      </c>
      <c r="C734" s="8" t="s">
        <v>3159</v>
      </c>
      <c r="D734" s="9" t="s">
        <v>1115</v>
      </c>
      <c r="E734" s="10" t="str">
        <f>HYPERLINK("https://twitter.com/Crisesquivi/status/1065879855730962432","1065879855730962432")</f>
        <v>1065879855730962432</v>
      </c>
      <c r="F734" s="11" t="s">
        <v>1116</v>
      </c>
      <c r="G734" s="12"/>
      <c r="H734" s="12"/>
      <c r="I734" s="13">
        <v>0</v>
      </c>
      <c r="J734" s="13">
        <v>0</v>
      </c>
      <c r="K734" s="14" t="str">
        <f>HYPERLINK("http://twitter.com/#!/download/ipad","Twitter for iPad")</f>
        <v>Twitter for iPad</v>
      </c>
      <c r="L734" s="13">
        <v>227</v>
      </c>
      <c r="M734" s="13">
        <v>265</v>
      </c>
      <c r="N734" s="13">
        <v>2</v>
      </c>
      <c r="O734" s="15"/>
      <c r="P734" s="6">
        <v>40615.923854166671</v>
      </c>
      <c r="Q734" s="17" t="s">
        <v>3160</v>
      </c>
      <c r="R734" s="19"/>
      <c r="S734" s="12"/>
      <c r="T734" s="12"/>
      <c r="U734" s="10" t="str">
        <f>HYPERLINK("https://pbs.twimg.com/profile_images/516269629539631105/Fqyy9p4U.jpeg","View")</f>
        <v>View</v>
      </c>
    </row>
    <row r="735" spans="1:21" ht="71.400000000000006">
      <c r="A735" s="6">
        <v>43427.380474537036</v>
      </c>
      <c r="B735" s="7" t="str">
        <f>HYPERLINK("https://twitter.com/OrbitaEduardo","@OrbitaEduardo")</f>
        <v>@OrbitaEduardo</v>
      </c>
      <c r="C735" s="8" t="s">
        <v>3161</v>
      </c>
      <c r="D735" s="9" t="s">
        <v>3162</v>
      </c>
      <c r="E735" s="10" t="str">
        <f>HYPERLINK("https://twitter.com/OrbitaEduardo/status/1065879594258051072","1065879594258051072")</f>
        <v>1065879594258051072</v>
      </c>
      <c r="F735" s="11" t="s">
        <v>3163</v>
      </c>
      <c r="G735" s="11" t="s">
        <v>3164</v>
      </c>
      <c r="H735" s="12"/>
      <c r="I735" s="13">
        <v>5</v>
      </c>
      <c r="J735" s="13">
        <v>6</v>
      </c>
      <c r="K735" s="14" t="str">
        <f>HYPERLINK("http://twitter.com/download/android","Twitter for Android")</f>
        <v>Twitter for Android</v>
      </c>
      <c r="L735" s="13">
        <v>4223</v>
      </c>
      <c r="M735" s="13">
        <v>4719</v>
      </c>
      <c r="N735" s="13">
        <v>12</v>
      </c>
      <c r="O735" s="15"/>
      <c r="P735" s="6">
        <v>43110.374305555553</v>
      </c>
      <c r="Q735" s="17" t="s">
        <v>878</v>
      </c>
      <c r="R735" s="18" t="s">
        <v>3165</v>
      </c>
      <c r="S735" s="12"/>
      <c r="T735" s="12"/>
      <c r="U735" s="10" t="str">
        <f>HYPERLINK("https://pbs.twimg.com/profile_images/1034013666600001538/MmqVJqFc.jpg","View")</f>
        <v>View</v>
      </c>
    </row>
    <row r="736" spans="1:21" ht="30.6">
      <c r="A736" s="6">
        <v>43427.380347222221</v>
      </c>
      <c r="B736" s="7" t="str">
        <f>HYPERLINK("https://twitter.com/maverick18mcl","@maverick18mcl")</f>
        <v>@maverick18mcl</v>
      </c>
      <c r="C736" s="8" t="s">
        <v>3167</v>
      </c>
      <c r="D736" s="9" t="s">
        <v>1115</v>
      </c>
      <c r="E736" s="10" t="str">
        <f>HYPERLINK("https://twitter.com/maverick18mcl/status/1065879548221431808","1065879548221431808")</f>
        <v>1065879548221431808</v>
      </c>
      <c r="F736" s="11" t="s">
        <v>1116</v>
      </c>
      <c r="G736" s="12"/>
      <c r="H736" s="12"/>
      <c r="I736" s="13">
        <v>0</v>
      </c>
      <c r="J736" s="13">
        <v>0</v>
      </c>
      <c r="K736" s="14" t="str">
        <f>HYPERLINK("http://twitter.com","Twitter Web Client")</f>
        <v>Twitter Web Client</v>
      </c>
      <c r="L736" s="13">
        <v>2002</v>
      </c>
      <c r="M736" s="13">
        <v>1173</v>
      </c>
      <c r="N736" s="13">
        <v>49</v>
      </c>
      <c r="O736" s="15"/>
      <c r="P736" s="6">
        <v>40593.072141203702</v>
      </c>
      <c r="Q736" s="17" t="s">
        <v>2205</v>
      </c>
      <c r="R736" s="18" t="s">
        <v>3168</v>
      </c>
      <c r="S736" s="11" t="s">
        <v>3169</v>
      </c>
      <c r="T736" s="12"/>
      <c r="U736" s="10" t="str">
        <f>HYPERLINK("https://pbs.twimg.com/profile_images/546940341106917376/tzawZs8X.jpeg","View")</f>
        <v>View</v>
      </c>
    </row>
    <row r="737" spans="1:21" ht="20.399999999999999">
      <c r="A737" s="6">
        <v>43427.380266203705</v>
      </c>
      <c r="B737" s="7" t="str">
        <f>HYPERLINK("https://twitter.com/JulioGanguita","@JulioGanguita")</f>
        <v>@JulioGanguita</v>
      </c>
      <c r="C737" s="8" t="s">
        <v>2225</v>
      </c>
      <c r="D737" s="9" t="s">
        <v>745</v>
      </c>
      <c r="E737" s="10" t="str">
        <f>HYPERLINK("https://twitter.com/JulioGanguita/status/1065879519259648000","1065879519259648000")</f>
        <v>1065879519259648000</v>
      </c>
      <c r="F737" s="11" t="s">
        <v>746</v>
      </c>
      <c r="G737" s="12"/>
      <c r="H737" s="12"/>
      <c r="I737" s="13">
        <v>0</v>
      </c>
      <c r="J737" s="13">
        <v>0</v>
      </c>
      <c r="K737" s="14" t="str">
        <f>HYPERLINK("https://ifttt.com","IFTTT")</f>
        <v>IFTTT</v>
      </c>
      <c r="L737" s="13">
        <v>970</v>
      </c>
      <c r="M737" s="13">
        <v>1608</v>
      </c>
      <c r="N737" s="13">
        <v>3</v>
      </c>
      <c r="O737" s="15"/>
      <c r="P737" s="6">
        <v>41982.543564814812</v>
      </c>
      <c r="Q737" s="17" t="s">
        <v>2228</v>
      </c>
      <c r="R737" s="18" t="s">
        <v>2229</v>
      </c>
      <c r="S737" s="12"/>
      <c r="T737" s="12"/>
      <c r="U737" s="10" t="str">
        <f>HYPERLINK("https://pbs.twimg.com/profile_images/859057418386497536/1I406mDG.jpg","View")</f>
        <v>View</v>
      </c>
    </row>
    <row r="738" spans="1:21" ht="30.6">
      <c r="A738" s="6">
        <v>43427.380219907413</v>
      </c>
      <c r="B738" s="7" t="str">
        <f>HYPERLINK("https://twitter.com/maverick18mcl","@maverick18mcl")</f>
        <v>@maverick18mcl</v>
      </c>
      <c r="C738" s="8" t="s">
        <v>3167</v>
      </c>
      <c r="D738" s="9" t="s">
        <v>3170</v>
      </c>
      <c r="E738" s="10" t="str">
        <f>HYPERLINK("https://twitter.com/maverick18mcl/status/1065879504617390080","1065879504617390080")</f>
        <v>1065879504617390080</v>
      </c>
      <c r="F738" s="11" t="s">
        <v>1116</v>
      </c>
      <c r="G738" s="12"/>
      <c r="H738" s="12"/>
      <c r="I738" s="13">
        <v>1</v>
      </c>
      <c r="J738" s="13">
        <v>1</v>
      </c>
      <c r="K738" s="14" t="str">
        <f>HYPERLINK("http://www.facebook.com/twitter","Facebook")</f>
        <v>Facebook</v>
      </c>
      <c r="L738" s="13">
        <v>2002</v>
      </c>
      <c r="M738" s="13">
        <v>1173</v>
      </c>
      <c r="N738" s="13">
        <v>49</v>
      </c>
      <c r="O738" s="15"/>
      <c r="P738" s="6">
        <v>40593.072141203702</v>
      </c>
      <c r="Q738" s="17" t="s">
        <v>2205</v>
      </c>
      <c r="R738" s="18" t="s">
        <v>3168</v>
      </c>
      <c r="S738" s="11" t="s">
        <v>3169</v>
      </c>
      <c r="T738" s="12"/>
      <c r="U738" s="10" t="str">
        <f>HYPERLINK("https://pbs.twimg.com/profile_images/546940341106917376/tzawZs8X.jpeg","View")</f>
        <v>View</v>
      </c>
    </row>
    <row r="739" spans="1:21" ht="30.6">
      <c r="A739" s="6">
        <v>43427.380046296297</v>
      </c>
      <c r="B739" s="7" t="str">
        <f>HYPERLINK("https://twitter.com/IdeasED_","@IdeasED_")</f>
        <v>@IdeasED_</v>
      </c>
      <c r="C739" s="8" t="s">
        <v>2763</v>
      </c>
      <c r="D739" s="9" t="s">
        <v>3171</v>
      </c>
      <c r="E739" s="10" t="str">
        <f>HYPERLINK("https://twitter.com/IdeasED_/status/1065879442013200384","1065879442013200384")</f>
        <v>1065879442013200384</v>
      </c>
      <c r="F739" s="11" t="s">
        <v>3172</v>
      </c>
      <c r="G739" s="12"/>
      <c r="H739" s="12"/>
      <c r="I739" s="13">
        <v>0</v>
      </c>
      <c r="J739" s="13">
        <v>0</v>
      </c>
      <c r="K739" s="14" t="str">
        <f>HYPERLINK("https://www.echobox.com","Echobox Social")</f>
        <v>Echobox Social</v>
      </c>
      <c r="L739" s="13">
        <v>782</v>
      </c>
      <c r="M739" s="13">
        <v>12</v>
      </c>
      <c r="N739" s="13">
        <v>19</v>
      </c>
      <c r="O739" s="15"/>
      <c r="P739" s="6">
        <v>42429.776932870373</v>
      </c>
      <c r="Q739" s="17" t="s">
        <v>277</v>
      </c>
      <c r="R739" s="18" t="s">
        <v>2766</v>
      </c>
      <c r="S739" s="11" t="s">
        <v>2767</v>
      </c>
      <c r="T739" s="12"/>
      <c r="U739" s="10" t="str">
        <f>HYPERLINK("https://pbs.twimg.com/profile_images/971886946925629440/hDR8pS6b.jpg","View")</f>
        <v>View</v>
      </c>
    </row>
    <row r="740" spans="1:21" ht="30.6">
      <c r="A740" s="6">
        <v>43427.379976851851</v>
      </c>
      <c r="B740" s="7" t="str">
        <f>HYPERLINK("https://twitter.com/kurtz_vlc","@kurtz_vlc")</f>
        <v>@kurtz_vlc</v>
      </c>
      <c r="C740" s="8" t="s">
        <v>3173</v>
      </c>
      <c r="D740" s="9" t="s">
        <v>3174</v>
      </c>
      <c r="E740" s="10" t="str">
        <f>HYPERLINK("https://twitter.com/kurtz_vlc/status/1065879413865308161","1065879413865308161")</f>
        <v>1065879413865308161</v>
      </c>
      <c r="F740" s="12"/>
      <c r="G740" s="12"/>
      <c r="H740" s="12"/>
      <c r="I740" s="13">
        <v>1</v>
      </c>
      <c r="J740" s="13">
        <v>1</v>
      </c>
      <c r="K740" s="14" t="str">
        <f>HYPERLINK("https://mobile.twitter.com","Twitter Lite")</f>
        <v>Twitter Lite</v>
      </c>
      <c r="L740" s="13">
        <v>2556</v>
      </c>
      <c r="M740" s="13">
        <v>4269</v>
      </c>
      <c r="N740" s="13">
        <v>28</v>
      </c>
      <c r="O740" s="15"/>
      <c r="P740" s="6">
        <v>40940.42869212963</v>
      </c>
      <c r="Q740" s="17" t="s">
        <v>2928</v>
      </c>
      <c r="R740" s="18" t="s">
        <v>3175</v>
      </c>
      <c r="S740" s="11" t="s">
        <v>3176</v>
      </c>
      <c r="T740" s="12"/>
      <c r="U740" s="10" t="str">
        <f>HYPERLINK("https://pbs.twimg.com/profile_images/2567454860/l1g699vjgzy8w2nhrnxj.jpeg","View")</f>
        <v>View</v>
      </c>
    </row>
    <row r="741" spans="1:21" ht="30.6">
      <c r="A741" s="6">
        <v>43427.379930555559</v>
      </c>
      <c r="B741" s="7" t="str">
        <f>HYPERLINK("https://twitter.com/elEconomistaes","@elEconomistaes")</f>
        <v>@elEconomistaes</v>
      </c>
      <c r="C741" s="20" t="s">
        <v>3024</v>
      </c>
      <c r="D741" s="9" t="s">
        <v>3177</v>
      </c>
      <c r="E741" s="10" t="str">
        <f>HYPERLINK("https://twitter.com/elEconomistaes/status/1065879398845423617","1065879398845423617")</f>
        <v>1065879398845423617</v>
      </c>
      <c r="F741" s="11" t="s">
        <v>3178</v>
      </c>
      <c r="G741" s="12"/>
      <c r="H741" s="12"/>
      <c r="I741" s="13">
        <v>7</v>
      </c>
      <c r="J741" s="13">
        <v>5</v>
      </c>
      <c r="K741" s="14" t="str">
        <f>HYPERLINK("http://twitter.com","Twitter Web Client")</f>
        <v>Twitter Web Client</v>
      </c>
      <c r="L741" s="13">
        <v>655205</v>
      </c>
      <c r="M741" s="13">
        <v>369</v>
      </c>
      <c r="N741" s="13">
        <v>8755</v>
      </c>
      <c r="O741" s="16" t="s">
        <v>26</v>
      </c>
      <c r="P741" s="6">
        <v>40373.48164351852</v>
      </c>
      <c r="Q741" s="12"/>
      <c r="R741" s="18" t="s">
        <v>3027</v>
      </c>
      <c r="S741" s="11" t="s">
        <v>3028</v>
      </c>
      <c r="T741" s="12"/>
      <c r="U741" s="10" t="str">
        <f>HYPERLINK("https://pbs.twimg.com/profile_images/899527230833012736/uMjGoE60.jpg","View")</f>
        <v>View</v>
      </c>
    </row>
    <row r="742" spans="1:21" ht="51">
      <c r="A742" s="6">
        <v>43427.379317129627</v>
      </c>
      <c r="B742" s="7" t="str">
        <f>HYPERLINK("https://twitter.com/arpg63","@arpg63")</f>
        <v>@arpg63</v>
      </c>
      <c r="C742" s="8" t="s">
        <v>3179</v>
      </c>
      <c r="D742" s="9" t="s">
        <v>3180</v>
      </c>
      <c r="E742" s="10" t="str">
        <f>HYPERLINK("https://twitter.com/arpg63/status/1065879175318446080","1065879175318446080")</f>
        <v>1065879175318446080</v>
      </c>
      <c r="F742" s="11" t="s">
        <v>3181</v>
      </c>
      <c r="G742" s="12"/>
      <c r="H742" s="12"/>
      <c r="I742" s="13">
        <v>0</v>
      </c>
      <c r="J742" s="13">
        <v>0</v>
      </c>
      <c r="K742" s="14" t="str">
        <f>HYPERLINK("http://twitter.com/download/android","Twitter for Android")</f>
        <v>Twitter for Android</v>
      </c>
      <c r="L742" s="13">
        <v>581</v>
      </c>
      <c r="M742" s="13">
        <v>1181</v>
      </c>
      <c r="N742" s="13">
        <v>19</v>
      </c>
      <c r="O742" s="15"/>
      <c r="P742" s="6">
        <v>41328.645636574074</v>
      </c>
      <c r="Q742" s="12"/>
      <c r="R742" s="18" t="s">
        <v>3182</v>
      </c>
      <c r="S742" s="12"/>
      <c r="T742" s="12"/>
      <c r="U742" s="10" t="str">
        <f>HYPERLINK("https://pbs.twimg.com/profile_images/927535214183755776/OO_idJ9K.jpg","View")</f>
        <v>View</v>
      </c>
    </row>
    <row r="743" spans="1:21" ht="81.599999999999994">
      <c r="A743" s="6">
        <v>43427.379282407404</v>
      </c>
      <c r="B743" s="7" t="str">
        <f>HYPERLINK("https://twitter.com/MAQUIAVELA3","@MAQUIAVELA3")</f>
        <v>@MAQUIAVELA3</v>
      </c>
      <c r="C743" s="8" t="s">
        <v>2353</v>
      </c>
      <c r="D743" s="9" t="s">
        <v>3183</v>
      </c>
      <c r="E743" s="10" t="str">
        <f>HYPERLINK("https://twitter.com/MAQUIAVELA3/status/1065879163196923904","1065879163196923904")</f>
        <v>1065879163196923904</v>
      </c>
      <c r="F743" s="11" t="s">
        <v>2633</v>
      </c>
      <c r="G743" s="11" t="s">
        <v>2634</v>
      </c>
      <c r="H743" s="12"/>
      <c r="I743" s="13">
        <v>4</v>
      </c>
      <c r="J743" s="13">
        <v>3</v>
      </c>
      <c r="K743" s="14" t="str">
        <f>HYPERLINK("http://twitter.com/download/iphone","Twitter for iPhone")</f>
        <v>Twitter for iPhone</v>
      </c>
      <c r="L743" s="13">
        <v>1095</v>
      </c>
      <c r="M743" s="13">
        <v>1150</v>
      </c>
      <c r="N743" s="13">
        <v>3</v>
      </c>
      <c r="O743" s="15"/>
      <c r="P743" s="6">
        <v>43099.555763888886</v>
      </c>
      <c r="Q743" s="17" t="s">
        <v>1630</v>
      </c>
      <c r="R743" s="18" t="s">
        <v>2357</v>
      </c>
      <c r="S743" s="12"/>
      <c r="T743" s="12"/>
      <c r="U743" s="10" t="str">
        <f>HYPERLINK("https://pbs.twimg.com/profile_images/1039864818130399233/-JjB89k5.jpg","View")</f>
        <v>View</v>
      </c>
    </row>
    <row r="744" spans="1:21" ht="61.2">
      <c r="A744" s="6">
        <v>43427.378888888888</v>
      </c>
      <c r="B744" s="7" t="str">
        <f>HYPERLINK("https://twitter.com/DCesardEchague","@DCesardEchague")</f>
        <v>@DCesardEchague</v>
      </c>
      <c r="C744" s="8" t="s">
        <v>3184</v>
      </c>
      <c r="D744" s="9" t="s">
        <v>3185</v>
      </c>
      <c r="E744" s="10" t="str">
        <f>HYPERLINK("https://twitter.com/DCesardEchague/status/1065879020917727232","1065879020917727232")</f>
        <v>1065879020917727232</v>
      </c>
      <c r="F744" s="17" t="s">
        <v>3186</v>
      </c>
      <c r="G744" s="12"/>
      <c r="H744" s="12"/>
      <c r="I744" s="13">
        <v>0</v>
      </c>
      <c r="J744" s="13">
        <v>0</v>
      </c>
      <c r="K744" s="14" t="str">
        <f t="shared" ref="K744:K745" si="130">HYPERLINK("http://twitter.com/download/android","Twitter for Android")</f>
        <v>Twitter for Android</v>
      </c>
      <c r="L744" s="13">
        <v>369</v>
      </c>
      <c r="M744" s="13">
        <v>400</v>
      </c>
      <c r="N744" s="13">
        <v>0</v>
      </c>
      <c r="O744" s="15"/>
      <c r="P744" s="6">
        <v>42819.717847222222</v>
      </c>
      <c r="Q744" s="12"/>
      <c r="R744" s="18" t="s">
        <v>3187</v>
      </c>
      <c r="S744" s="12"/>
      <c r="T744" s="12"/>
      <c r="U744" s="10" t="str">
        <f>HYPERLINK("https://pbs.twimg.com/profile_images/866665413895221250/q_KRXxWP.jpg","View")</f>
        <v>View</v>
      </c>
    </row>
    <row r="745" spans="1:21" ht="30.6">
      <c r="A745" s="6">
        <v>43427.378611111111</v>
      </c>
      <c r="B745" s="7" t="str">
        <f>HYPERLINK("https://twitter.com/manuelcanosamar","@manuelcanosamar")</f>
        <v>@manuelcanosamar</v>
      </c>
      <c r="C745" s="8" t="s">
        <v>3042</v>
      </c>
      <c r="D745" s="9" t="s">
        <v>3188</v>
      </c>
      <c r="E745" s="10" t="str">
        <f>HYPERLINK("https://twitter.com/manuelcanosamar/status/1065878921613402112","1065878921613402112")</f>
        <v>1065878921613402112</v>
      </c>
      <c r="F745" s="12"/>
      <c r="G745" s="12"/>
      <c r="H745" s="12"/>
      <c r="I745" s="13">
        <v>0</v>
      </c>
      <c r="J745" s="13">
        <v>0</v>
      </c>
      <c r="K745" s="14" t="str">
        <f t="shared" si="130"/>
        <v>Twitter for Android</v>
      </c>
      <c r="L745" s="13">
        <v>34</v>
      </c>
      <c r="M745" s="13">
        <v>28</v>
      </c>
      <c r="N745" s="13">
        <v>4</v>
      </c>
      <c r="O745" s="15"/>
      <c r="P745" s="6">
        <v>41156.767199074078</v>
      </c>
      <c r="Q745" s="17" t="s">
        <v>3044</v>
      </c>
      <c r="R745" s="18" t="s">
        <v>3045</v>
      </c>
      <c r="S745" s="12"/>
      <c r="T745" s="12"/>
      <c r="U745" s="10" t="str">
        <f>HYPERLINK("https://pbs.twimg.com/profile_images/511843838625718272/hJ1rgNA4.jpeg","View")</f>
        <v>View</v>
      </c>
    </row>
    <row r="746" spans="1:21" ht="20.399999999999999">
      <c r="A746" s="6">
        <v>43427.378194444449</v>
      </c>
      <c r="B746" s="7" t="str">
        <f>HYPERLINK("https://twitter.com/invarobla","@invarobla")</f>
        <v>@invarobla</v>
      </c>
      <c r="C746" s="8" t="s">
        <v>3189</v>
      </c>
      <c r="D746" s="9" t="s">
        <v>3190</v>
      </c>
      <c r="E746" s="10" t="str">
        <f>HYPERLINK("https://twitter.com/invarobla/status/1065878769708294145","1065878769708294145")</f>
        <v>1065878769708294145</v>
      </c>
      <c r="F746" s="11" t="s">
        <v>3191</v>
      </c>
      <c r="G746" s="11" t="s">
        <v>3192</v>
      </c>
      <c r="H746" s="12"/>
      <c r="I746" s="13">
        <v>0</v>
      </c>
      <c r="J746" s="13">
        <v>0</v>
      </c>
      <c r="K746" s="14" t="str">
        <f t="shared" ref="K746:K750" si="131">HYPERLINK("https://ifttt.com","IFTTT")</f>
        <v>IFTTT</v>
      </c>
      <c r="L746" s="13">
        <v>362</v>
      </c>
      <c r="M746" s="13">
        <v>457</v>
      </c>
      <c r="N746" s="13">
        <v>1</v>
      </c>
      <c r="O746" s="15"/>
      <c r="P746" s="6">
        <v>42977.776678240742</v>
      </c>
      <c r="Q746" s="17" t="s">
        <v>3193</v>
      </c>
      <c r="R746" s="18" t="s">
        <v>3194</v>
      </c>
      <c r="S746" s="12"/>
      <c r="T746" s="12"/>
      <c r="U746" s="10" t="str">
        <f>HYPERLINK("https://pbs.twimg.com/profile_images/962063483952013315/SclIm8SM.jpg","View")</f>
        <v>View</v>
      </c>
    </row>
    <row r="747" spans="1:21" ht="30.6">
      <c r="A747" s="6">
        <v>43427.378194444449</v>
      </c>
      <c r="B747" s="7" t="str">
        <f>HYPERLINK("https://twitter.com/bergabil94","@bergabil94")</f>
        <v>@bergabil94</v>
      </c>
      <c r="C747" s="8" t="s">
        <v>930</v>
      </c>
      <c r="D747" s="9" t="s">
        <v>2799</v>
      </c>
      <c r="E747" s="10" t="str">
        <f>HYPERLINK("https://twitter.com/bergabil94/status/1065878768407973888","1065878768407973888")</f>
        <v>1065878768407973888</v>
      </c>
      <c r="F747" s="11" t="s">
        <v>2800</v>
      </c>
      <c r="G747" s="12"/>
      <c r="H747" s="12"/>
      <c r="I747" s="13">
        <v>0</v>
      </c>
      <c r="J747" s="13">
        <v>0</v>
      </c>
      <c r="K747" s="14" t="str">
        <f t="shared" si="131"/>
        <v>IFTTT</v>
      </c>
      <c r="L747" s="13">
        <v>64</v>
      </c>
      <c r="M747" s="13">
        <v>51</v>
      </c>
      <c r="N747" s="13">
        <v>3</v>
      </c>
      <c r="O747" s="15"/>
      <c r="P747" s="6">
        <v>42758.422662037032</v>
      </c>
      <c r="Q747" s="17" t="s">
        <v>141</v>
      </c>
      <c r="R747" s="18" t="s">
        <v>931</v>
      </c>
      <c r="S747" s="12"/>
      <c r="T747" s="12"/>
      <c r="U747" s="10" t="str">
        <f>HYPERLINK("https://pbs.twimg.com/profile_images/823457736675459073/c35uioBB.jpg","View")</f>
        <v>View</v>
      </c>
    </row>
    <row r="748" spans="1:21" ht="20.399999999999999">
      <c r="A748" s="6">
        <v>43427.377256944441</v>
      </c>
      <c r="B748" s="7" t="str">
        <f>HYPERLINK("https://twitter.com/JulioGanguita","@JulioGanguita")</f>
        <v>@JulioGanguita</v>
      </c>
      <c r="C748" s="8" t="s">
        <v>2225</v>
      </c>
      <c r="D748" s="9" t="s">
        <v>745</v>
      </c>
      <c r="E748" s="10" t="str">
        <f>HYPERLINK("https://twitter.com/JulioGanguita/status/1065878430523248641","1065878430523248641")</f>
        <v>1065878430523248641</v>
      </c>
      <c r="F748" s="11" t="s">
        <v>746</v>
      </c>
      <c r="G748" s="12"/>
      <c r="H748" s="12"/>
      <c r="I748" s="13">
        <v>0</v>
      </c>
      <c r="J748" s="13">
        <v>0</v>
      </c>
      <c r="K748" s="14" t="str">
        <f t="shared" si="131"/>
        <v>IFTTT</v>
      </c>
      <c r="L748" s="13">
        <v>970</v>
      </c>
      <c r="M748" s="13">
        <v>1608</v>
      </c>
      <c r="N748" s="13">
        <v>3</v>
      </c>
      <c r="O748" s="15"/>
      <c r="P748" s="6">
        <v>41982.543564814812</v>
      </c>
      <c r="Q748" s="17" t="s">
        <v>2228</v>
      </c>
      <c r="R748" s="18" t="s">
        <v>2229</v>
      </c>
      <c r="S748" s="12"/>
      <c r="T748" s="12"/>
      <c r="U748" s="10" t="str">
        <f>HYPERLINK("https://pbs.twimg.com/profile_images/859057418386497536/1I406mDG.jpg","View")</f>
        <v>View</v>
      </c>
    </row>
    <row r="749" spans="1:21" ht="40.799999999999997">
      <c r="A749" s="6">
        <v>43427.376793981486</v>
      </c>
      <c r="B749" s="7" t="str">
        <f t="shared" ref="B749:B750" si="132">HYPERLINK("https://twitter.com/fobr","@fobr")</f>
        <v>@fobr</v>
      </c>
      <c r="C749" s="8" t="s">
        <v>3195</v>
      </c>
      <c r="D749" s="9" t="s">
        <v>2760</v>
      </c>
      <c r="E749" s="10" t="str">
        <f>HYPERLINK("https://twitter.com/fobr/status/1065878263174701057","1065878263174701057")</f>
        <v>1065878263174701057</v>
      </c>
      <c r="F749" s="11" t="s">
        <v>2761</v>
      </c>
      <c r="G749" s="12"/>
      <c r="H749" s="12"/>
      <c r="I749" s="13">
        <v>0</v>
      </c>
      <c r="J749" s="13">
        <v>0</v>
      </c>
      <c r="K749" s="14" t="str">
        <f t="shared" si="131"/>
        <v>IFTTT</v>
      </c>
      <c r="L749" s="13">
        <v>3379</v>
      </c>
      <c r="M749" s="13">
        <v>4628</v>
      </c>
      <c r="N749" s="13">
        <v>75</v>
      </c>
      <c r="O749" s="15"/>
      <c r="P749" s="6">
        <v>39840.280138888891</v>
      </c>
      <c r="Q749" s="17" t="s">
        <v>3196</v>
      </c>
      <c r="R749" s="18" t="s">
        <v>3197</v>
      </c>
      <c r="S749" s="11" t="s">
        <v>3198</v>
      </c>
      <c r="T749" s="12"/>
      <c r="U749" s="10" t="str">
        <f t="shared" ref="U749:U750" si="133">HYPERLINK("https://pbs.twimg.com/profile_images/932794460303429632/eU2_zgFk.jpg","View")</f>
        <v>View</v>
      </c>
    </row>
    <row r="750" spans="1:21" ht="40.799999999999997">
      <c r="A750" s="6">
        <v>43427.376736111109</v>
      </c>
      <c r="B750" s="7" t="str">
        <f t="shared" si="132"/>
        <v>@fobr</v>
      </c>
      <c r="C750" s="8" t="s">
        <v>3195</v>
      </c>
      <c r="D750" s="9" t="s">
        <v>3199</v>
      </c>
      <c r="E750" s="10" t="str">
        <f>HYPERLINK("https://twitter.com/fobr/status/1065878243323060224","1065878243323060224")</f>
        <v>1065878243323060224</v>
      </c>
      <c r="F750" s="11" t="s">
        <v>3200</v>
      </c>
      <c r="G750" s="12"/>
      <c r="H750" s="12"/>
      <c r="I750" s="13">
        <v>0</v>
      </c>
      <c r="J750" s="13">
        <v>0</v>
      </c>
      <c r="K750" s="14" t="str">
        <f t="shared" si="131"/>
        <v>IFTTT</v>
      </c>
      <c r="L750" s="13">
        <v>3379</v>
      </c>
      <c r="M750" s="13">
        <v>4628</v>
      </c>
      <c r="N750" s="13">
        <v>75</v>
      </c>
      <c r="O750" s="15"/>
      <c r="P750" s="6">
        <v>39840.280138888891</v>
      </c>
      <c r="Q750" s="17" t="s">
        <v>3196</v>
      </c>
      <c r="R750" s="18" t="s">
        <v>3197</v>
      </c>
      <c r="S750" s="11" t="s">
        <v>3198</v>
      </c>
      <c r="T750" s="12"/>
      <c r="U750" s="10" t="str">
        <f t="shared" si="133"/>
        <v>View</v>
      </c>
    </row>
    <row r="751" spans="1:21" ht="20.399999999999999">
      <c r="A751" s="6">
        <v>43427.376469907409</v>
      </c>
      <c r="B751" s="7" t="str">
        <f>HYPERLINK("https://twitter.com/Castro_Mas_Cota","@Castro_Mas_Cota")</f>
        <v>@Castro_Mas_Cota</v>
      </c>
      <c r="C751" s="8" t="s">
        <v>3201</v>
      </c>
      <c r="D751" s="9" t="s">
        <v>3202</v>
      </c>
      <c r="E751" s="10" t="str">
        <f>HYPERLINK("https://twitter.com/Castro_Mas_Cota/status/1065878144362647552","1065878144362647552")</f>
        <v>1065878144362647552</v>
      </c>
      <c r="F751" s="12"/>
      <c r="G751" s="12"/>
      <c r="H751" s="12"/>
      <c r="I751" s="13">
        <v>1</v>
      </c>
      <c r="J751" s="13">
        <v>12</v>
      </c>
      <c r="K751" s="14" t="str">
        <f>HYPERLINK("http://twitter.com/download/android","Twitter for Android")</f>
        <v>Twitter for Android</v>
      </c>
      <c r="L751" s="13">
        <v>2282</v>
      </c>
      <c r="M751" s="13">
        <v>859</v>
      </c>
      <c r="N751" s="13">
        <v>15</v>
      </c>
      <c r="O751" s="15"/>
      <c r="P751" s="6">
        <v>42645.586875000001</v>
      </c>
      <c r="Q751" s="12"/>
      <c r="R751" s="18" t="s">
        <v>3203</v>
      </c>
      <c r="S751" s="12"/>
      <c r="T751" s="12"/>
      <c r="U751" s="10" t="str">
        <f>HYPERLINK("https://pbs.twimg.com/profile_images/1063845152949772289/fTxkzam5.jpg","View")</f>
        <v>View</v>
      </c>
    </row>
    <row r="752" spans="1:21" ht="20.399999999999999">
      <c r="A752" s="6">
        <v>43427.375706018516</v>
      </c>
      <c r="B752" s="7" t="str">
        <f>HYPERLINK("https://twitter.com/vitorialocal","@vitorialocal")</f>
        <v>@vitorialocal</v>
      </c>
      <c r="C752" s="8" t="s">
        <v>3124</v>
      </c>
      <c r="D752" s="9" t="s">
        <v>3125</v>
      </c>
      <c r="E752" s="10" t="str">
        <f>HYPERLINK("https://twitter.com/vitorialocal/status/1065877868327010305","1065877868327010305")</f>
        <v>1065877868327010305</v>
      </c>
      <c r="F752" s="11" t="s">
        <v>3126</v>
      </c>
      <c r="G752" s="12"/>
      <c r="H752" s="12"/>
      <c r="I752" s="13">
        <v>0</v>
      </c>
      <c r="J752" s="13">
        <v>0</v>
      </c>
      <c r="K752" s="14" t="str">
        <f>HYPERLINK("https://ifttt.com","IFTTT")</f>
        <v>IFTTT</v>
      </c>
      <c r="L752" s="13">
        <v>488</v>
      </c>
      <c r="M752" s="13">
        <v>67</v>
      </c>
      <c r="N752" s="13">
        <v>16</v>
      </c>
      <c r="O752" s="15"/>
      <c r="P752" s="6">
        <v>41894.613750000004</v>
      </c>
      <c r="Q752" s="17" t="s">
        <v>3127</v>
      </c>
      <c r="R752" s="18" t="s">
        <v>3128</v>
      </c>
      <c r="S752" s="12"/>
      <c r="T752" s="12"/>
      <c r="U752" s="10" t="str">
        <f>HYPERLINK("https://pbs.twimg.com/profile_images/510408884364644353/bqI2lxx2.png","View")</f>
        <v>View</v>
      </c>
    </row>
    <row r="753" spans="1:21" ht="40.799999999999997">
      <c r="A753" s="6">
        <v>43427.375694444447</v>
      </c>
      <c r="B753" s="7" t="str">
        <f>HYPERLINK("https://twitter.com/cgtnenespanol","@cgtnenespanol")</f>
        <v>@cgtnenespanol</v>
      </c>
      <c r="C753" s="8" t="s">
        <v>1048</v>
      </c>
      <c r="D753" s="9" t="s">
        <v>3204</v>
      </c>
      <c r="E753" s="10" t="str">
        <f>HYPERLINK("https://twitter.com/cgtnenespanol/status/1065877863574974464","1065877863574974464")</f>
        <v>1065877863574974464</v>
      </c>
      <c r="F753" s="12"/>
      <c r="G753" s="11" t="s">
        <v>3205</v>
      </c>
      <c r="H753" s="12"/>
      <c r="I753" s="13">
        <v>7</v>
      </c>
      <c r="J753" s="13">
        <v>6</v>
      </c>
      <c r="K753" s="14" t="str">
        <f>HYPERLINK("https://studio.twitter.com","Media Studio")</f>
        <v>Media Studio</v>
      </c>
      <c r="L753" s="13">
        <v>548827</v>
      </c>
      <c r="M753" s="13">
        <v>138</v>
      </c>
      <c r="N753" s="13">
        <v>570</v>
      </c>
      <c r="O753" s="16" t="s">
        <v>26</v>
      </c>
      <c r="P753" s="6">
        <v>42587.409074074079</v>
      </c>
      <c r="Q753" s="17" t="s">
        <v>1054</v>
      </c>
      <c r="R753" s="18" t="s">
        <v>1055</v>
      </c>
      <c r="S753" s="11" t="s">
        <v>1056</v>
      </c>
      <c r="T753" s="12"/>
      <c r="U753" s="10" t="str">
        <f>HYPERLINK("https://pbs.twimg.com/profile_images/814728645637849088/liai3Jbz.jpg","View")</f>
        <v>View</v>
      </c>
    </row>
    <row r="754" spans="1:21" ht="20.399999999999999">
      <c r="A754" s="6">
        <v>43427.375625000001</v>
      </c>
      <c r="B754" s="7" t="str">
        <f>HYPERLINK("https://twitter.com/MatrizDeOpinion","@MatrizDeOpinion")</f>
        <v>@MatrizDeOpinion</v>
      </c>
      <c r="C754" s="8" t="s">
        <v>3206</v>
      </c>
      <c r="D754" s="9" t="s">
        <v>1334</v>
      </c>
      <c r="E754" s="10" t="str">
        <f>HYPERLINK("https://twitter.com/MatrizDeOpinion/status/1065877839680086016","1065877839680086016")</f>
        <v>1065877839680086016</v>
      </c>
      <c r="F754" s="11" t="s">
        <v>3207</v>
      </c>
      <c r="G754" s="12"/>
      <c r="H754" s="12"/>
      <c r="I754" s="13">
        <v>1</v>
      </c>
      <c r="J754" s="13">
        <v>0</v>
      </c>
      <c r="K754" s="14" t="str">
        <f>HYPERLINK("https://buffer.com","Buffer")</f>
        <v>Buffer</v>
      </c>
      <c r="L754" s="13">
        <v>1842</v>
      </c>
      <c r="M754" s="13">
        <v>866</v>
      </c>
      <c r="N754" s="13">
        <v>7</v>
      </c>
      <c r="O754" s="15"/>
      <c r="P754" s="6">
        <v>43315.216956018514</v>
      </c>
      <c r="Q754" s="17" t="s">
        <v>383</v>
      </c>
      <c r="R754" s="18" t="s">
        <v>3208</v>
      </c>
      <c r="S754" s="11" t="s">
        <v>3209</v>
      </c>
      <c r="T754" s="12"/>
      <c r="U754" s="10" t="str">
        <f>HYPERLINK("https://pbs.twimg.com/profile_images/1062221014065651712/9r7Y99AK.jpg","View")</f>
        <v>View</v>
      </c>
    </row>
    <row r="755" spans="1:21" ht="30.6">
      <c r="A755" s="6">
        <v>43427.375381944439</v>
      </c>
      <c r="B755" s="7" t="str">
        <f>HYPERLINK("https://twitter.com/Cambio16","@Cambio16")</f>
        <v>@Cambio16</v>
      </c>
      <c r="C755" s="8" t="s">
        <v>22</v>
      </c>
      <c r="D755" s="9" t="s">
        <v>3210</v>
      </c>
      <c r="E755" s="10" t="str">
        <f>HYPERLINK("https://twitter.com/Cambio16/status/1065877750295289856","1065877750295289856")</f>
        <v>1065877750295289856</v>
      </c>
      <c r="F755" s="11" t="s">
        <v>1706</v>
      </c>
      <c r="G755" s="11" t="s">
        <v>3211</v>
      </c>
      <c r="H755" s="12"/>
      <c r="I755" s="13">
        <v>0</v>
      </c>
      <c r="J755" s="13">
        <v>1</v>
      </c>
      <c r="K755" s="14" t="str">
        <f t="shared" ref="K755:K756" si="134">HYPERLINK("https://www.hootsuite.com","Hootsuite Inc.")</f>
        <v>Hootsuite Inc.</v>
      </c>
      <c r="L755" s="13">
        <v>17345</v>
      </c>
      <c r="M755" s="13">
        <v>765</v>
      </c>
      <c r="N755" s="13">
        <v>499</v>
      </c>
      <c r="O755" s="15"/>
      <c r="P755" s="6">
        <v>40341.492245370369</v>
      </c>
      <c r="Q755" s="17" t="s">
        <v>27</v>
      </c>
      <c r="R755" s="18" t="s">
        <v>30</v>
      </c>
      <c r="S755" s="11" t="s">
        <v>31</v>
      </c>
      <c r="T755" s="12"/>
      <c r="U755" s="10" t="str">
        <f>HYPERLINK("https://pbs.twimg.com/profile_images/1060221846208069632/vJfJ3_T5.jpg","View")</f>
        <v>View</v>
      </c>
    </row>
    <row r="756" spans="1:21" ht="20.399999999999999">
      <c r="A756" s="6">
        <v>43427.375115740739</v>
      </c>
      <c r="B756" s="7" t="str">
        <f>HYPERLINK("https://twitter.com/AppiAlmussafes","@AppiAlmussafes")</f>
        <v>@AppiAlmussafes</v>
      </c>
      <c r="C756" s="8" t="s">
        <v>3212</v>
      </c>
      <c r="D756" s="9" t="s">
        <v>3213</v>
      </c>
      <c r="E756" s="10" t="str">
        <f>HYPERLINK("https://twitter.com/AppiAlmussafes/status/1065877654384070657","1065877654384070657")</f>
        <v>1065877654384070657</v>
      </c>
      <c r="F756" s="11" t="s">
        <v>3214</v>
      </c>
      <c r="G756" s="12"/>
      <c r="H756" s="12"/>
      <c r="I756" s="13">
        <v>0</v>
      </c>
      <c r="J756" s="13">
        <v>0</v>
      </c>
      <c r="K756" s="14" t="str">
        <f t="shared" si="134"/>
        <v>Hootsuite Inc.</v>
      </c>
      <c r="L756" s="13">
        <v>273</v>
      </c>
      <c r="M756" s="13">
        <v>469</v>
      </c>
      <c r="N756" s="13">
        <v>3</v>
      </c>
      <c r="O756" s="15"/>
      <c r="P756" s="6">
        <v>42679.578020833331</v>
      </c>
      <c r="Q756" s="17" t="s">
        <v>3215</v>
      </c>
      <c r="R756" s="18" t="s">
        <v>3216</v>
      </c>
      <c r="S756" s="11" t="s">
        <v>3217</v>
      </c>
      <c r="T756" s="12"/>
      <c r="U756" s="10" t="str">
        <f>HYPERLINK("https://pbs.twimg.com/profile_images/1052599143783227392/I8XJie96.jpg","View")</f>
        <v>View</v>
      </c>
    </row>
    <row r="757" spans="1:21" ht="20.399999999999999">
      <c r="A757" s="6">
        <v>43427.375</v>
      </c>
      <c r="B757" s="7" t="str">
        <f>HYPERLINK("https://twitter.com/ElAzotedeDios5","@ElAzotedeDios5")</f>
        <v>@ElAzotedeDios5</v>
      </c>
      <c r="C757" s="8" t="s">
        <v>3218</v>
      </c>
      <c r="D757" s="9" t="s">
        <v>3219</v>
      </c>
      <c r="E757" s="10" t="str">
        <f>HYPERLINK("https://twitter.com/ElAzotedeDios5/status/1065877612197801985","1065877612197801985")</f>
        <v>1065877612197801985</v>
      </c>
      <c r="F757" s="11" t="s">
        <v>746</v>
      </c>
      <c r="G757" s="12"/>
      <c r="H757" s="12"/>
      <c r="I757" s="13">
        <v>0</v>
      </c>
      <c r="J757" s="13">
        <v>0</v>
      </c>
      <c r="K757" s="14" t="str">
        <f>HYPERLINK("http://twitter.com/#!/download/ipad","Twitter for iPad")</f>
        <v>Twitter for iPad</v>
      </c>
      <c r="L757" s="13">
        <v>469</v>
      </c>
      <c r="M757" s="13">
        <v>1272</v>
      </c>
      <c r="N757" s="13">
        <v>2</v>
      </c>
      <c r="O757" s="15"/>
      <c r="P757" s="6">
        <v>43305.491909722223</v>
      </c>
      <c r="Q757" s="12"/>
      <c r="R757" s="19"/>
      <c r="S757" s="12"/>
      <c r="T757" s="12"/>
      <c r="U757" s="10" t="str">
        <f>HYPERLINK("https://pbs.twimg.com/profile_images/1021694581174427648/HRgK9x8s.jpg","View")</f>
        <v>View</v>
      </c>
    </row>
    <row r="758" spans="1:21" ht="30.6">
      <c r="A758" s="6">
        <v>43427.375</v>
      </c>
      <c r="B758" s="7" t="str">
        <f>HYPERLINK("https://twitter.com/TribunaSal","@TribunaSal")</f>
        <v>@TribunaSal</v>
      </c>
      <c r="C758" s="8" t="s">
        <v>3220</v>
      </c>
      <c r="D758" s="9" t="s">
        <v>3221</v>
      </c>
      <c r="E758" s="10" t="str">
        <f>HYPERLINK("https://twitter.com/TribunaSal/status/1065877611543519232","1065877611543519232")</f>
        <v>1065877611543519232</v>
      </c>
      <c r="F758" s="11" t="s">
        <v>3222</v>
      </c>
      <c r="G758" s="11" t="s">
        <v>3223</v>
      </c>
      <c r="H758" s="12"/>
      <c r="I758" s="13">
        <v>0</v>
      </c>
      <c r="J758" s="13">
        <v>0</v>
      </c>
      <c r="K758" s="14" t="str">
        <f>HYPERLINK("https://about.twitter.com/products/tweetdeck","TweetDeck")</f>
        <v>TweetDeck</v>
      </c>
      <c r="L758" s="13">
        <v>17984</v>
      </c>
      <c r="M758" s="13">
        <v>3387</v>
      </c>
      <c r="N758" s="13">
        <v>325</v>
      </c>
      <c r="O758" s="15"/>
      <c r="P758" s="6">
        <v>40688.894618055558</v>
      </c>
      <c r="Q758" s="17" t="s">
        <v>405</v>
      </c>
      <c r="R758" s="18" t="s">
        <v>3224</v>
      </c>
      <c r="S758" s="11" t="s">
        <v>3225</v>
      </c>
      <c r="T758" s="12"/>
      <c r="U758" s="10" t="str">
        <f>HYPERLINK("https://pbs.twimg.com/profile_images/1065553174046654464/B1w3VqdX.jpg","View")</f>
        <v>View</v>
      </c>
    </row>
    <row r="759" spans="1:21" ht="30.6">
      <c r="A759" s="6">
        <v>43427.374895833331</v>
      </c>
      <c r="B759" s="7" t="str">
        <f>HYPERLINK("https://twitter.com/iruizquintano","@iruizquintano")</f>
        <v>@iruizquintano</v>
      </c>
      <c r="C759" s="8" t="s">
        <v>3226</v>
      </c>
      <c r="D759" s="9" t="s">
        <v>3227</v>
      </c>
      <c r="E759" s="10" t="str">
        <f>HYPERLINK("https://twitter.com/iruizquintano/status/1065877572637130755","1065877572637130755")</f>
        <v>1065877572637130755</v>
      </c>
      <c r="F759" s="11" t="s">
        <v>3228</v>
      </c>
      <c r="G759" s="12"/>
      <c r="H759" s="12"/>
      <c r="I759" s="13">
        <v>0</v>
      </c>
      <c r="J759" s="13">
        <v>1</v>
      </c>
      <c r="K759" s="14" t="str">
        <f>HYPERLINK("http://twitter.com","Twitter Web Client")</f>
        <v>Twitter Web Client</v>
      </c>
      <c r="L759" s="13">
        <v>4442</v>
      </c>
      <c r="M759" s="13">
        <v>88</v>
      </c>
      <c r="N759" s="13">
        <v>133</v>
      </c>
      <c r="O759" s="15"/>
      <c r="P759" s="6">
        <v>40556.71199074074</v>
      </c>
      <c r="Q759" s="17" t="s">
        <v>3229</v>
      </c>
      <c r="R759" s="18" t="s">
        <v>3230</v>
      </c>
      <c r="S759" s="11" t="s">
        <v>3231</v>
      </c>
      <c r="T759" s="12"/>
      <c r="U759" s="10" t="str">
        <f>HYPERLINK("https://pbs.twimg.com/profile_images/3499755091/121c019f11533f22131d515fa02598d7.jpeg","View")</f>
        <v>View</v>
      </c>
    </row>
    <row r="760" spans="1:21" ht="20.399999999999999">
      <c r="A760" s="6">
        <v>43427.374340277776</v>
      </c>
      <c r="B760" s="7" t="str">
        <f>HYPERLINK("https://twitter.com/EP_Mundo","@EP_Mundo")</f>
        <v>@EP_Mundo</v>
      </c>
      <c r="C760" s="8" t="s">
        <v>298</v>
      </c>
      <c r="D760" s="9" t="s">
        <v>299</v>
      </c>
      <c r="E760" s="10" t="str">
        <f>HYPERLINK("https://twitter.com/EP_Mundo/status/1065877373302841345","1065877373302841345")</f>
        <v>1065877373302841345</v>
      </c>
      <c r="F760" s="11" t="s">
        <v>99</v>
      </c>
      <c r="G760" s="11" t="s">
        <v>3232</v>
      </c>
      <c r="H760" s="12"/>
      <c r="I760" s="13">
        <v>1</v>
      </c>
      <c r="J760" s="13">
        <v>1</v>
      </c>
      <c r="K760" s="14" t="str">
        <f>HYPERLINK("http://epmundo.com","Tuiteo TOP EP (2)")</f>
        <v>Tuiteo TOP EP (2)</v>
      </c>
      <c r="L760" s="13">
        <v>510632</v>
      </c>
      <c r="M760" s="13">
        <v>302207</v>
      </c>
      <c r="N760" s="13">
        <v>1367</v>
      </c>
      <c r="O760" s="15"/>
      <c r="P760" s="6">
        <v>40203.223078703704</v>
      </c>
      <c r="Q760" s="12"/>
      <c r="R760" s="18" t="s">
        <v>303</v>
      </c>
      <c r="S760" s="11" t="s">
        <v>304</v>
      </c>
      <c r="T760" s="12"/>
      <c r="U760" s="10" t="str">
        <f>HYPERLINK("https://pbs.twimg.com/profile_images/958329583778099200/87-xiuzB.jpg","View")</f>
        <v>View</v>
      </c>
    </row>
    <row r="761" spans="1:21" ht="20.399999999999999">
      <c r="A761" s="6">
        <v>43427.374259259261</v>
      </c>
      <c r="B761" s="7" t="str">
        <f>HYPERLINK("https://twitter.com/urantiamicael","@urantiamicael")</f>
        <v>@urantiamicael</v>
      </c>
      <c r="C761" s="8" t="s">
        <v>3233</v>
      </c>
      <c r="D761" s="9" t="s">
        <v>232</v>
      </c>
      <c r="E761" s="10" t="str">
        <f>HYPERLINK("https://twitter.com/urantiamicael/status/1065877345893052416","1065877345893052416")</f>
        <v>1065877345893052416</v>
      </c>
      <c r="F761" s="11" t="s">
        <v>233</v>
      </c>
      <c r="G761" s="12"/>
      <c r="H761" s="12"/>
      <c r="I761" s="13">
        <v>0</v>
      </c>
      <c r="J761" s="13">
        <v>0</v>
      </c>
      <c r="K761" s="14" t="str">
        <f t="shared" ref="K761:K762" si="135">HYPERLINK("http://twitter.com","Twitter Web Client")</f>
        <v>Twitter Web Client</v>
      </c>
      <c r="L761" s="13">
        <v>215</v>
      </c>
      <c r="M761" s="13">
        <v>309</v>
      </c>
      <c r="N761" s="13">
        <v>3</v>
      </c>
      <c r="O761" s="15"/>
      <c r="P761" s="6">
        <v>41074.063333333332</v>
      </c>
      <c r="Q761" s="17" t="s">
        <v>3234</v>
      </c>
      <c r="R761" s="18" t="s">
        <v>3235</v>
      </c>
      <c r="S761" s="12"/>
      <c r="T761" s="12"/>
      <c r="U761" s="10" t="str">
        <f>HYPERLINK("https://pbs.twimg.com/profile_images/414660739391950848/KwnpaimF.jpeg","View")</f>
        <v>View</v>
      </c>
    </row>
    <row r="762" spans="1:21" ht="30.6">
      <c r="A762" s="6">
        <v>43427.373726851853</v>
      </c>
      <c r="B762" s="7" t="str">
        <f>HYPERLINK("https://twitter.com/ramonmateusans","@ramonmateusans")</f>
        <v>@ramonmateusans</v>
      </c>
      <c r="C762" s="8" t="s">
        <v>3236</v>
      </c>
      <c r="D762" s="9" t="s">
        <v>3237</v>
      </c>
      <c r="E762" s="10" t="str">
        <f>HYPERLINK("https://twitter.com/ramonmateusans/status/1065877150367186944","1065877150367186944")</f>
        <v>1065877150367186944</v>
      </c>
      <c r="F762" s="11" t="s">
        <v>3238</v>
      </c>
      <c r="G762" s="12"/>
      <c r="H762" s="12"/>
      <c r="I762" s="13">
        <v>0</v>
      </c>
      <c r="J762" s="13">
        <v>0</v>
      </c>
      <c r="K762" s="14" t="str">
        <f t="shared" si="135"/>
        <v>Twitter Web Client</v>
      </c>
      <c r="L762" s="13">
        <v>748</v>
      </c>
      <c r="M762" s="13">
        <v>793</v>
      </c>
      <c r="N762" s="13">
        <v>5</v>
      </c>
      <c r="O762" s="15"/>
      <c r="P762" s="6">
        <v>42059.776134259257</v>
      </c>
      <c r="Q762" s="17" t="s">
        <v>3239</v>
      </c>
      <c r="R762" s="18" t="s">
        <v>3240</v>
      </c>
      <c r="S762" s="12"/>
      <c r="T762" s="12"/>
      <c r="U762" s="10" t="str">
        <f>HYPERLINK("https://pbs.twimg.com/profile_images/570277848531750912/SVLEu6bl.jpeg","View")</f>
        <v>View</v>
      </c>
    </row>
    <row r="763" spans="1:21" ht="20.399999999999999">
      <c r="A763" s="6">
        <v>43427.373171296298</v>
      </c>
      <c r="B763" s="7" t="str">
        <f>HYPERLINK("https://twitter.com/Paco_Pico27","@Paco_Pico27")</f>
        <v>@Paco_Pico27</v>
      </c>
      <c r="C763" s="8" t="s">
        <v>3241</v>
      </c>
      <c r="D763" s="9" t="s">
        <v>3242</v>
      </c>
      <c r="E763" s="10" t="str">
        <f>HYPERLINK("https://twitter.com/Paco_Pico27/status/1065876949959090176","1065876949959090176")</f>
        <v>1065876949959090176</v>
      </c>
      <c r="F763" s="11" t="s">
        <v>2943</v>
      </c>
      <c r="G763" s="12"/>
      <c r="H763" s="12"/>
      <c r="I763" s="13">
        <v>0</v>
      </c>
      <c r="J763" s="13">
        <v>0</v>
      </c>
      <c r="K763" s="14" t="str">
        <f>HYPERLINK("http://twitter.com/download/android","Twitter for Android")</f>
        <v>Twitter for Android</v>
      </c>
      <c r="L763" s="13">
        <v>465</v>
      </c>
      <c r="M763" s="13">
        <v>857</v>
      </c>
      <c r="N763" s="13">
        <v>0</v>
      </c>
      <c r="O763" s="15"/>
      <c r="P763" s="6">
        <v>41043.761145833334</v>
      </c>
      <c r="Q763" s="17" t="s">
        <v>72</v>
      </c>
      <c r="R763" s="18" t="s">
        <v>3243</v>
      </c>
      <c r="S763" s="12"/>
      <c r="T763" s="12"/>
      <c r="U763" s="10" t="str">
        <f>HYPERLINK("https://pbs.twimg.com/profile_images/711077803148632064/3ryoGf1J.jpg","View")</f>
        <v>View</v>
      </c>
    </row>
    <row r="764" spans="1:21" ht="61.2">
      <c r="A764" s="6">
        <v>43427.37299768519</v>
      </c>
      <c r="B764" s="7" t="str">
        <f>HYPERLINK("https://twitter.com/unodemadrid2","@unodemadrid2")</f>
        <v>@unodemadrid2</v>
      </c>
      <c r="C764" s="8" t="s">
        <v>3244</v>
      </c>
      <c r="D764" s="9" t="s">
        <v>3245</v>
      </c>
      <c r="E764" s="10" t="str">
        <f>HYPERLINK("https://twitter.com/unodemadrid2/status/1065876886469914624","1065876886469914624")</f>
        <v>1065876886469914624</v>
      </c>
      <c r="F764" s="12"/>
      <c r="G764" s="11" t="s">
        <v>3246</v>
      </c>
      <c r="H764" s="12"/>
      <c r="I764" s="13">
        <v>0</v>
      </c>
      <c r="J764" s="13">
        <v>0</v>
      </c>
      <c r="K764" s="14" t="str">
        <f>HYPERLINK("http://twitter.com","Twitter Web Client")</f>
        <v>Twitter Web Client</v>
      </c>
      <c r="L764" s="13">
        <v>20</v>
      </c>
      <c r="M764" s="13">
        <v>0</v>
      </c>
      <c r="N764" s="13">
        <v>2</v>
      </c>
      <c r="O764" s="15"/>
      <c r="P764" s="6">
        <v>42983.396840277783</v>
      </c>
      <c r="Q764" s="12"/>
      <c r="R764" s="19"/>
      <c r="S764" s="12"/>
      <c r="T764" s="12"/>
      <c r="U764" s="10" t="str">
        <f>HYPERLINK("https://pbs.twimg.com/profile_images/1006092404343091200/nx1k6QZx.jpg","View")</f>
        <v>View</v>
      </c>
    </row>
    <row r="765" spans="1:21" ht="30.6">
      <c r="A765" s="6">
        <v>43427.37299768519</v>
      </c>
      <c r="B765" s="7" t="str">
        <f>HYPERLINK("https://twitter.com/PDAmericaNews","@PDAmericaNews")</f>
        <v>@PDAmericaNews</v>
      </c>
      <c r="C765" s="8" t="s">
        <v>3247</v>
      </c>
      <c r="D765" s="9" t="s">
        <v>3248</v>
      </c>
      <c r="E765" s="10" t="str">
        <f>HYPERLINK("https://twitter.com/PDAmericaNews/status/1065876884771217408","1065876884771217408")</f>
        <v>1065876884771217408</v>
      </c>
      <c r="F765" s="11" t="s">
        <v>2823</v>
      </c>
      <c r="G765" s="12"/>
      <c r="H765" s="12"/>
      <c r="I765" s="13">
        <v>7</v>
      </c>
      <c r="J765" s="13">
        <v>6</v>
      </c>
      <c r="K765" s="14" t="str">
        <f>HYPERLINK("http://twitter.com/download/iphone","Twitter for iPhone")</f>
        <v>Twitter for iPhone</v>
      </c>
      <c r="L765" s="13">
        <v>332</v>
      </c>
      <c r="M765" s="13">
        <v>53</v>
      </c>
      <c r="N765" s="13">
        <v>18</v>
      </c>
      <c r="O765" s="15"/>
      <c r="P765" s="6">
        <v>40326.479097222225</v>
      </c>
      <c r="Q765" s="17" t="s">
        <v>72</v>
      </c>
      <c r="R765" s="18" t="s">
        <v>3249</v>
      </c>
      <c r="S765" s="11" t="s">
        <v>3250</v>
      </c>
      <c r="T765" s="12"/>
      <c r="U765" s="10" t="str">
        <f>HYPERLINK("https://pbs.twimg.com/profile_images/573092652620492803/nU1tD6UO.jpeg","View")</f>
        <v>View</v>
      </c>
    </row>
    <row r="766" spans="1:21" ht="30.6">
      <c r="A766" s="6">
        <v>43427.372835648144</v>
      </c>
      <c r="B766" s="7" t="str">
        <f>HYPERLINK("https://twitter.com/urantiamicael","@urantiamicael")</f>
        <v>@urantiamicael</v>
      </c>
      <c r="C766" s="8" t="s">
        <v>3233</v>
      </c>
      <c r="D766" s="9" t="s">
        <v>162</v>
      </c>
      <c r="E766" s="10" t="str">
        <f>HYPERLINK("https://twitter.com/urantiamicael/status/1065876827598667776","1065876827598667776")</f>
        <v>1065876827598667776</v>
      </c>
      <c r="F766" s="11" t="s">
        <v>163</v>
      </c>
      <c r="G766" s="12"/>
      <c r="H766" s="12"/>
      <c r="I766" s="13">
        <v>0</v>
      </c>
      <c r="J766" s="13">
        <v>0</v>
      </c>
      <c r="K766" s="14" t="str">
        <f>HYPERLINK("http://twitter.com","Twitter Web Client")</f>
        <v>Twitter Web Client</v>
      </c>
      <c r="L766" s="13">
        <v>215</v>
      </c>
      <c r="M766" s="13">
        <v>309</v>
      </c>
      <c r="N766" s="13">
        <v>3</v>
      </c>
      <c r="O766" s="15"/>
      <c r="P766" s="6">
        <v>41074.063333333332</v>
      </c>
      <c r="Q766" s="17" t="s">
        <v>3234</v>
      </c>
      <c r="R766" s="18" t="s">
        <v>3235</v>
      </c>
      <c r="S766" s="12"/>
      <c r="T766" s="12"/>
      <c r="U766" s="10" t="str">
        <f>HYPERLINK("https://pbs.twimg.com/profile_images/414660739391950848/KwnpaimF.jpeg","View")</f>
        <v>View</v>
      </c>
    </row>
    <row r="767" spans="1:21" ht="61.2">
      <c r="A767" s="6">
        <v>43427.372615740736</v>
      </c>
      <c r="B767" s="7" t="str">
        <f>HYPERLINK("https://twitter.com/Laszloeragay","@Laszloeragay")</f>
        <v>@Laszloeragay</v>
      </c>
      <c r="C767" s="8" t="s">
        <v>3251</v>
      </c>
      <c r="D767" s="9" t="s">
        <v>3252</v>
      </c>
      <c r="E767" s="10" t="str">
        <f>HYPERLINK("https://twitter.com/Laszloeragay/status/1065876750360604672","1065876750360604672")</f>
        <v>1065876750360604672</v>
      </c>
      <c r="F767" s="11" t="s">
        <v>120</v>
      </c>
      <c r="G767" s="12"/>
      <c r="H767" s="12"/>
      <c r="I767" s="13">
        <v>1</v>
      </c>
      <c r="J767" s="13">
        <v>3</v>
      </c>
      <c r="K767" s="14" t="str">
        <f>HYPERLINK("http://twitter.com/download/iphone","Twitter for iPhone")</f>
        <v>Twitter for iPhone</v>
      </c>
      <c r="L767" s="13">
        <v>4548</v>
      </c>
      <c r="M767" s="13">
        <v>509</v>
      </c>
      <c r="N767" s="13">
        <v>64</v>
      </c>
      <c r="O767" s="15"/>
      <c r="P767" s="6">
        <v>41197.440682870372</v>
      </c>
      <c r="Q767" s="17" t="s">
        <v>3253</v>
      </c>
      <c r="R767" s="18" t="s">
        <v>3254</v>
      </c>
      <c r="S767" s="12"/>
      <c r="T767" s="12"/>
      <c r="U767" s="10" t="str">
        <f>HYPERLINK("https://pbs.twimg.com/profile_images/715066295587356672/w-DcPg69.jpg","View")</f>
        <v>View</v>
      </c>
    </row>
    <row r="768" spans="1:21" ht="20.399999999999999">
      <c r="A768" s="6">
        <v>43427.372152777782</v>
      </c>
      <c r="B768" s="7" t="str">
        <f>HYPERLINK("https://twitter.com/NuestraGenteCA","@NuestraGenteCA")</f>
        <v>@NuestraGenteCA</v>
      </c>
      <c r="C768" s="8" t="s">
        <v>3255</v>
      </c>
      <c r="D768" s="9" t="s">
        <v>3256</v>
      </c>
      <c r="E768" s="10" t="str">
        <f>HYPERLINK("https://twitter.com/NuestraGenteCA/status/1065876581351075840","1065876581351075840")</f>
        <v>1065876581351075840</v>
      </c>
      <c r="F768" s="11" t="s">
        <v>3257</v>
      </c>
      <c r="G768" s="12"/>
      <c r="H768" s="12"/>
      <c r="I768" s="13">
        <v>0</v>
      </c>
      <c r="J768" s="13">
        <v>0</v>
      </c>
      <c r="K768" s="14" t="str">
        <f>HYPERLINK("http://www.facebook.com/twitter","Facebook")</f>
        <v>Facebook</v>
      </c>
      <c r="L768" s="13">
        <v>295</v>
      </c>
      <c r="M768" s="13">
        <v>281</v>
      </c>
      <c r="N768" s="13">
        <v>0</v>
      </c>
      <c r="O768" s="15"/>
      <c r="P768" s="6">
        <v>40890.267094907409</v>
      </c>
      <c r="Q768" s="17" t="s">
        <v>3258</v>
      </c>
      <c r="R768" s="18" t="s">
        <v>3259</v>
      </c>
      <c r="S768" s="11" t="s">
        <v>3260</v>
      </c>
      <c r="T768" s="12"/>
      <c r="U768" s="10" t="str">
        <f>HYPERLINK("https://pbs.twimg.com/profile_images/1854781819/avatar.png","View")</f>
        <v>View</v>
      </c>
    </row>
    <row r="769" spans="1:21" ht="13.2">
      <c r="A769" s="6">
        <v>43427.372141203705</v>
      </c>
      <c r="B769" s="7" t="str">
        <f>HYPERLINK("https://twitter.com/Metatron19","@Metatron19")</f>
        <v>@Metatron19</v>
      </c>
      <c r="C769" s="8" t="s">
        <v>3261</v>
      </c>
      <c r="D769" s="9" t="s">
        <v>2295</v>
      </c>
      <c r="E769" s="10" t="str">
        <f>HYPERLINK("https://twitter.com/Metatron19/status/1065876577127419904","1065876577127419904")</f>
        <v>1065876577127419904</v>
      </c>
      <c r="F769" s="11" t="s">
        <v>1820</v>
      </c>
      <c r="G769" s="12"/>
      <c r="H769" s="12"/>
      <c r="I769" s="13">
        <v>0</v>
      </c>
      <c r="J769" s="13">
        <v>0</v>
      </c>
      <c r="K769" s="14" t="str">
        <f>HYPERLINK("http://twitter.com/download/android","Twitter for Android")</f>
        <v>Twitter for Android</v>
      </c>
      <c r="L769" s="13">
        <v>2946</v>
      </c>
      <c r="M769" s="13">
        <v>3251</v>
      </c>
      <c r="N769" s="13">
        <v>87</v>
      </c>
      <c r="O769" s="15"/>
      <c r="P769" s="6">
        <v>40849.412766203706</v>
      </c>
      <c r="Q769" s="12"/>
      <c r="R769" s="19"/>
      <c r="S769" s="12"/>
      <c r="T769" s="12"/>
      <c r="U769" s="10" t="str">
        <f>HYPERLINK("https://pbs.twimg.com/profile_images/2498598462/hw8fkj29xucc4pu9cid3.jpeg","View")</f>
        <v>View</v>
      </c>
    </row>
    <row r="770" spans="1:21" ht="20.399999999999999">
      <c r="A770" s="6">
        <v>43427.371967592597</v>
      </c>
      <c r="B770" s="7" t="str">
        <f>HYPERLINK("https://twitter.com/LAEDUS","@LAEDUS")</f>
        <v>@LAEDUS</v>
      </c>
      <c r="C770" s="8" t="s">
        <v>3262</v>
      </c>
      <c r="D770" s="9" t="s">
        <v>3256</v>
      </c>
      <c r="E770" s="10" t="str">
        <f>HYPERLINK("https://twitter.com/LAEDUS/status/1065876515257286657","1065876515257286657")</f>
        <v>1065876515257286657</v>
      </c>
      <c r="F770" s="11" t="s">
        <v>3257</v>
      </c>
      <c r="G770" s="12"/>
      <c r="H770" s="12"/>
      <c r="I770" s="13">
        <v>0</v>
      </c>
      <c r="J770" s="13">
        <v>0</v>
      </c>
      <c r="K770" s="14" t="str">
        <f>HYPERLINK("http://www.facebook.com/twitter","Facebook")</f>
        <v>Facebook</v>
      </c>
      <c r="L770" s="13">
        <v>223</v>
      </c>
      <c r="M770" s="13">
        <v>296</v>
      </c>
      <c r="N770" s="13">
        <v>6</v>
      </c>
      <c r="O770" s="15"/>
      <c r="P770" s="6">
        <v>41052.539571759262</v>
      </c>
      <c r="Q770" s="17" t="s">
        <v>3263</v>
      </c>
      <c r="R770" s="18" t="s">
        <v>3264</v>
      </c>
      <c r="S770" s="11" t="s">
        <v>3265</v>
      </c>
      <c r="T770" s="12"/>
      <c r="U770" s="10" t="str">
        <f>HYPERLINK("https://pbs.twimg.com/profile_images/459880228802662402/xWKEGTdd.png","View")</f>
        <v>View</v>
      </c>
    </row>
    <row r="771" spans="1:21" ht="20.399999999999999">
      <c r="A771" s="6">
        <v>43427.371724537035</v>
      </c>
      <c r="B771" s="7" t="str">
        <f>HYPERLINK("https://twitter.com/pacorromendoza","@pacorromendoza")</f>
        <v>@pacorromendoza</v>
      </c>
      <c r="C771" s="8" t="s">
        <v>3266</v>
      </c>
      <c r="D771" s="9" t="s">
        <v>3267</v>
      </c>
      <c r="E771" s="10" t="str">
        <f>HYPERLINK("https://twitter.com/pacorromendoza/status/1065876423909421060","1065876423909421060")</f>
        <v>1065876423909421060</v>
      </c>
      <c r="F771" s="11" t="s">
        <v>3257</v>
      </c>
      <c r="G771" s="12"/>
      <c r="H771" s="12"/>
      <c r="I771" s="13">
        <v>0</v>
      </c>
      <c r="J771" s="13">
        <v>0</v>
      </c>
      <c r="K771" s="14" t="str">
        <f t="shared" ref="K771:K772" si="136">HYPERLINK("http://twitter.com","Twitter Web Client")</f>
        <v>Twitter Web Client</v>
      </c>
      <c r="L771" s="13">
        <v>108</v>
      </c>
      <c r="M771" s="13">
        <v>45</v>
      </c>
      <c r="N771" s="13">
        <v>1</v>
      </c>
      <c r="O771" s="15"/>
      <c r="P771" s="6">
        <v>40151.873888888891</v>
      </c>
      <c r="Q771" s="17" t="s">
        <v>3258</v>
      </c>
      <c r="R771" s="18" t="s">
        <v>1608</v>
      </c>
      <c r="S771" s="11" t="s">
        <v>3268</v>
      </c>
      <c r="T771" s="12"/>
      <c r="U771" s="16" t="s">
        <v>373</v>
      </c>
    </row>
    <row r="772" spans="1:21" ht="40.799999999999997">
      <c r="A772" s="6">
        <v>43427.371678240743</v>
      </c>
      <c r="B772" s="7" t="str">
        <f>HYPERLINK("https://twitter.com/DrWhoElDoctor","@DrWhoElDoctor")</f>
        <v>@DrWhoElDoctor</v>
      </c>
      <c r="C772" s="8" t="s">
        <v>2782</v>
      </c>
      <c r="D772" s="9" t="s">
        <v>3269</v>
      </c>
      <c r="E772" s="10" t="str">
        <f>HYPERLINK("https://twitter.com/DrWhoElDoctor/status/1065876409682460672","1065876409682460672")</f>
        <v>1065876409682460672</v>
      </c>
      <c r="F772" s="12"/>
      <c r="G772" s="12"/>
      <c r="H772" s="12"/>
      <c r="I772" s="13">
        <v>0</v>
      </c>
      <c r="J772" s="13">
        <v>0</v>
      </c>
      <c r="K772" s="14" t="str">
        <f t="shared" si="136"/>
        <v>Twitter Web Client</v>
      </c>
      <c r="L772" s="13">
        <v>1233</v>
      </c>
      <c r="M772" s="13">
        <v>604</v>
      </c>
      <c r="N772" s="13">
        <v>51</v>
      </c>
      <c r="O772" s="15"/>
      <c r="P772" s="6">
        <v>40886.90048611111</v>
      </c>
      <c r="Q772" s="17" t="s">
        <v>2785</v>
      </c>
      <c r="R772" s="18" t="s">
        <v>2786</v>
      </c>
      <c r="S772" s="11" t="s">
        <v>2787</v>
      </c>
      <c r="T772" s="12"/>
      <c r="U772" s="10" t="str">
        <f>HYPERLINK("https://pbs.twimg.com/profile_images/3180626336/115fb4dea2ad3031d98e2acdba56b0bc.gif","View")</f>
        <v>View</v>
      </c>
    </row>
    <row r="773" spans="1:21" ht="30.6">
      <c r="A773" s="6">
        <v>43427.37091435185</v>
      </c>
      <c r="B773" s="7" t="str">
        <f>HYPERLINK("https://twitter.com/REPORTURnews","@REPORTURnews")</f>
        <v>@REPORTURnews</v>
      </c>
      <c r="C773" s="8" t="s">
        <v>3270</v>
      </c>
      <c r="D773" s="9" t="s">
        <v>3271</v>
      </c>
      <c r="E773" s="10" t="str">
        <f>HYPERLINK("https://twitter.com/REPORTURnews/status/1065876131147145216","1065876131147145216")</f>
        <v>1065876131147145216</v>
      </c>
      <c r="F773" s="11" t="s">
        <v>3272</v>
      </c>
      <c r="G773" s="12"/>
      <c r="H773" s="12"/>
      <c r="I773" s="13">
        <v>0</v>
      </c>
      <c r="J773" s="13">
        <v>0</v>
      </c>
      <c r="K773" s="14" t="str">
        <f>HYPERLINK("http://www.reportur.com","publicar-desde-web")</f>
        <v>publicar-desde-web</v>
      </c>
      <c r="L773" s="13">
        <v>2114</v>
      </c>
      <c r="M773" s="13">
        <v>157</v>
      </c>
      <c r="N773" s="13">
        <v>69</v>
      </c>
      <c r="O773" s="15"/>
      <c r="P773" s="6">
        <v>41495.488194444442</v>
      </c>
      <c r="Q773" s="17" t="s">
        <v>1771</v>
      </c>
      <c r="R773" s="18" t="s">
        <v>3274</v>
      </c>
      <c r="S773" s="11" t="s">
        <v>3275</v>
      </c>
      <c r="T773" s="12"/>
      <c r="U773" s="10" t="str">
        <f>HYPERLINK("https://pbs.twimg.com/profile_images/378800000264217548/bb311623a2c140befc9e3aa7f4a98ec4.jpeg","View")</f>
        <v>View</v>
      </c>
    </row>
    <row r="774" spans="1:21" ht="20.399999999999999">
      <c r="A774" s="6">
        <v>43427.370196759264</v>
      </c>
      <c r="B774" s="7" t="str">
        <f>HYPERLINK("https://twitter.com/CucalaMir","@CucalaMir")</f>
        <v>@CucalaMir</v>
      </c>
      <c r="C774" s="8" t="s">
        <v>3277</v>
      </c>
      <c r="D774" s="9" t="s">
        <v>3278</v>
      </c>
      <c r="E774" s="10" t="str">
        <f>HYPERLINK("https://twitter.com/CucalaMir/status/1065875870827589632","1065875870827589632")</f>
        <v>1065875870827589632</v>
      </c>
      <c r="F774" s="12"/>
      <c r="G774" s="11" t="s">
        <v>3279</v>
      </c>
      <c r="H774" s="12"/>
      <c r="I774" s="13">
        <v>0</v>
      </c>
      <c r="J774" s="13">
        <v>0</v>
      </c>
      <c r="K774" s="14" t="str">
        <f>HYPERLINK("http://twitter.com","Twitter Web Client")</f>
        <v>Twitter Web Client</v>
      </c>
      <c r="L774" s="13">
        <v>792</v>
      </c>
      <c r="M774" s="13">
        <v>2325</v>
      </c>
      <c r="N774" s="13">
        <v>3</v>
      </c>
      <c r="O774" s="15"/>
      <c r="P774" s="6">
        <v>43395.529270833329</v>
      </c>
      <c r="Q774" s="12"/>
      <c r="R774" s="19"/>
      <c r="S774" s="12"/>
      <c r="T774" s="12"/>
      <c r="U774" s="10" t="str">
        <f>HYPERLINK("https://pbs.twimg.com/profile_images/1057720589333512192/pke9kR0v.jpg","View")</f>
        <v>View</v>
      </c>
    </row>
    <row r="775" spans="1:21" ht="30.6">
      <c r="A775" s="6">
        <v>43427.369699074072</v>
      </c>
      <c r="B775" s="7" t="str">
        <f>HYPERLINK("https://twitter.com/EmilioCabrera7","@EmilioCabrera7")</f>
        <v>@EmilioCabrera7</v>
      </c>
      <c r="C775" s="8" t="s">
        <v>3280</v>
      </c>
      <c r="D775" s="9" t="s">
        <v>3281</v>
      </c>
      <c r="E775" s="10" t="str">
        <f>HYPERLINK("https://twitter.com/EmilioCabrera7/status/1065875689365282816","1065875689365282816")</f>
        <v>1065875689365282816</v>
      </c>
      <c r="F775" s="12"/>
      <c r="G775" s="12"/>
      <c r="H775" s="12"/>
      <c r="I775" s="13">
        <v>0</v>
      </c>
      <c r="J775" s="13">
        <v>1</v>
      </c>
      <c r="K775" s="14" t="str">
        <f t="shared" ref="K775:K776" si="137">HYPERLINK("http://twitter.com/download/android","Twitter for Android")</f>
        <v>Twitter for Android</v>
      </c>
      <c r="L775" s="13">
        <v>1542</v>
      </c>
      <c r="M775" s="13">
        <v>990</v>
      </c>
      <c r="N775" s="13">
        <v>50</v>
      </c>
      <c r="O775" s="15"/>
      <c r="P775" s="6">
        <v>40316.761932870373</v>
      </c>
      <c r="Q775" s="17" t="s">
        <v>3282</v>
      </c>
      <c r="R775" s="18" t="s">
        <v>3283</v>
      </c>
      <c r="S775" s="11" t="s">
        <v>3284</v>
      </c>
      <c r="T775" s="12"/>
      <c r="U775" s="10" t="str">
        <f>HYPERLINK("https://pbs.twimg.com/profile_images/843222820171735047/3iQ_fHQD.jpg","View")</f>
        <v>View</v>
      </c>
    </row>
    <row r="776" spans="1:21" ht="30.6">
      <c r="A776" s="6">
        <v>43427.368657407409</v>
      </c>
      <c r="B776" s="7" t="str">
        <f>HYPERLINK("https://twitter.com/MamenBond","@MamenBond")</f>
        <v>@MamenBond</v>
      </c>
      <c r="C776" s="8" t="s">
        <v>3285</v>
      </c>
      <c r="D776" s="9" t="s">
        <v>3286</v>
      </c>
      <c r="E776" s="10" t="str">
        <f>HYPERLINK("https://twitter.com/MamenBond/status/1065875313694031873","1065875313694031873")</f>
        <v>1065875313694031873</v>
      </c>
      <c r="F776" s="12"/>
      <c r="G776" s="12"/>
      <c r="H776" s="12"/>
      <c r="I776" s="13">
        <v>0</v>
      </c>
      <c r="J776" s="13">
        <v>1</v>
      </c>
      <c r="K776" s="14" t="str">
        <f t="shared" si="137"/>
        <v>Twitter for Android</v>
      </c>
      <c r="L776" s="13">
        <v>1606</v>
      </c>
      <c r="M776" s="13">
        <v>2929</v>
      </c>
      <c r="N776" s="13">
        <v>38</v>
      </c>
      <c r="O776" s="15"/>
      <c r="P776" s="6">
        <v>40851.877500000002</v>
      </c>
      <c r="Q776" s="17" t="s">
        <v>2460</v>
      </c>
      <c r="R776" s="18" t="s">
        <v>3287</v>
      </c>
      <c r="S776" s="12"/>
      <c r="T776" s="12"/>
      <c r="U776" s="10" t="str">
        <f>HYPERLINK("https://pbs.twimg.com/profile_images/974568600467058688/KT32iPcw.jpg","View")</f>
        <v>View</v>
      </c>
    </row>
    <row r="777" spans="1:21" ht="51">
      <c r="A777" s="6">
        <v>43427.368148148147</v>
      </c>
      <c r="B777" s="7" t="str">
        <f>HYPERLINK("https://twitter.com/Plenainclusion","@Plenainclusion")</f>
        <v>@Plenainclusion</v>
      </c>
      <c r="C777" s="8" t="s">
        <v>3288</v>
      </c>
      <c r="D777" s="9" t="s">
        <v>3289</v>
      </c>
      <c r="E777" s="10" t="str">
        <f>HYPERLINK("https://twitter.com/Plenainclusion/status/1065875127840227328","1065875127840227328")</f>
        <v>1065875127840227328</v>
      </c>
      <c r="F777" s="11" t="s">
        <v>3290</v>
      </c>
      <c r="G777" s="11" t="s">
        <v>3291</v>
      </c>
      <c r="H777" s="12"/>
      <c r="I777" s="13">
        <v>5</v>
      </c>
      <c r="J777" s="13">
        <v>6</v>
      </c>
      <c r="K777" s="14" t="str">
        <f>HYPERLINK("https://www.hootsuite.com","Hootsuite Inc.")</f>
        <v>Hootsuite Inc.</v>
      </c>
      <c r="L777" s="13">
        <v>23424</v>
      </c>
      <c r="M777" s="13">
        <v>522</v>
      </c>
      <c r="N777" s="13">
        <v>596</v>
      </c>
      <c r="O777" s="15"/>
      <c r="P777" s="6">
        <v>40253.399895833332</v>
      </c>
      <c r="Q777" s="17" t="s">
        <v>27</v>
      </c>
      <c r="R777" s="18" t="s">
        <v>3292</v>
      </c>
      <c r="S777" s="11" t="s">
        <v>3293</v>
      </c>
      <c r="T777" s="12"/>
      <c r="U777" s="10" t="str">
        <f>HYPERLINK("https://pbs.twimg.com/profile_images/1055043816573595648/_a0pkNIv.jpg","View")</f>
        <v>View</v>
      </c>
    </row>
    <row r="778" spans="1:21" ht="20.399999999999999">
      <c r="A778" s="6">
        <v>43427.366875</v>
      </c>
      <c r="B778" s="7" t="str">
        <f>HYPERLINK("https://twitter.com/seomaz","@seomaz")</f>
        <v>@seomaz</v>
      </c>
      <c r="C778" s="8" t="s">
        <v>3294</v>
      </c>
      <c r="D778" s="9" t="s">
        <v>3295</v>
      </c>
      <c r="E778" s="10" t="str">
        <f>HYPERLINK("https://twitter.com/seomaz/status/1065874668882718720","1065874668882718720")</f>
        <v>1065874668882718720</v>
      </c>
      <c r="F778" s="11" t="s">
        <v>3296</v>
      </c>
      <c r="G778" s="12"/>
      <c r="H778" s="12"/>
      <c r="I778" s="13">
        <v>0</v>
      </c>
      <c r="J778" s="13">
        <v>0</v>
      </c>
      <c r="K778" s="14" t="str">
        <f>HYPERLINK("http://www.facebook.com/twitter","Facebook")</f>
        <v>Facebook</v>
      </c>
      <c r="L778" s="13">
        <v>405</v>
      </c>
      <c r="M778" s="13">
        <v>465</v>
      </c>
      <c r="N778" s="13">
        <v>36</v>
      </c>
      <c r="O778" s="15"/>
      <c r="P778" s="6">
        <v>39921.246550925927</v>
      </c>
      <c r="Q778" s="17" t="s">
        <v>2988</v>
      </c>
      <c r="R778" s="18" t="s">
        <v>3297</v>
      </c>
      <c r="S778" s="11" t="s">
        <v>3298</v>
      </c>
      <c r="T778" s="12"/>
      <c r="U778" s="10" t="str">
        <f>HYPERLINK("https://pbs.twimg.com/profile_images/541982656599044096/OKPqJa5E.png","View")</f>
        <v>View</v>
      </c>
    </row>
    <row r="779" spans="1:21" ht="20.399999999999999">
      <c r="A779" s="6">
        <v>43427.366469907407</v>
      </c>
      <c r="B779" s="7" t="str">
        <f>HYPERLINK("https://twitter.com/Nicormg","@Nicormg")</f>
        <v>@Nicormg</v>
      </c>
      <c r="C779" s="8" t="s">
        <v>3299</v>
      </c>
      <c r="D779" s="9" t="s">
        <v>3300</v>
      </c>
      <c r="E779" s="10" t="str">
        <f>HYPERLINK("https://twitter.com/Nicormg/status/1065874523273207808","1065874523273207808")</f>
        <v>1065874523273207808</v>
      </c>
      <c r="F779" s="11" t="s">
        <v>3301</v>
      </c>
      <c r="G779" s="11" t="s">
        <v>3302</v>
      </c>
      <c r="H779" s="12"/>
      <c r="I779" s="13">
        <v>0</v>
      </c>
      <c r="J779" s="13">
        <v>11</v>
      </c>
      <c r="K779" s="14" t="str">
        <f>HYPERLINK("http://twitter.com/download/iphone","Twitter for iPhone")</f>
        <v>Twitter for iPhone</v>
      </c>
      <c r="L779" s="13">
        <v>6699</v>
      </c>
      <c r="M779" s="13">
        <v>564</v>
      </c>
      <c r="N779" s="13">
        <v>77</v>
      </c>
      <c r="O779" s="15"/>
      <c r="P779" s="6">
        <v>40655.811574074076</v>
      </c>
      <c r="Q779" s="17" t="s">
        <v>3303</v>
      </c>
      <c r="R779" s="18" t="s">
        <v>3304</v>
      </c>
      <c r="S779" s="11" t="s">
        <v>3305</v>
      </c>
      <c r="T779" s="12"/>
      <c r="U779" s="10" t="str">
        <f>HYPERLINK("https://pbs.twimg.com/profile_images/995355699659137025/bGYNaLZX.jpg","View")</f>
        <v>View</v>
      </c>
    </row>
    <row r="780" spans="1:21" ht="30.6">
      <c r="A780" s="6">
        <v>43427.366168981476</v>
      </c>
      <c r="B780" s="7" t="str">
        <f>HYPERLINK("https://twitter.com/BethLuengo","@BethLuengo")</f>
        <v>@BethLuengo</v>
      </c>
      <c r="C780" s="8" t="s">
        <v>3306</v>
      </c>
      <c r="D780" s="9" t="s">
        <v>3307</v>
      </c>
      <c r="E780" s="10" t="str">
        <f>HYPERLINK("https://twitter.com/BethLuengo/status/1065874412774264832","1065874412774264832")</f>
        <v>1065874412774264832</v>
      </c>
      <c r="F780" s="11" t="s">
        <v>3308</v>
      </c>
      <c r="G780" s="12"/>
      <c r="H780" s="12"/>
      <c r="I780" s="13">
        <v>0</v>
      </c>
      <c r="J780" s="13">
        <v>0</v>
      </c>
      <c r="K780" s="14" t="str">
        <f t="shared" ref="K780:K782" si="138">HYPERLINK("http://twitter.com/download/android","Twitter for Android")</f>
        <v>Twitter for Android</v>
      </c>
      <c r="L780" s="13">
        <v>1072</v>
      </c>
      <c r="M780" s="13">
        <v>1011</v>
      </c>
      <c r="N780" s="13">
        <v>11</v>
      </c>
      <c r="O780" s="15"/>
      <c r="P780" s="6">
        <v>41232.553067129629</v>
      </c>
      <c r="Q780" s="17" t="s">
        <v>28</v>
      </c>
      <c r="R780" s="18" t="s">
        <v>3309</v>
      </c>
      <c r="S780" s="12"/>
      <c r="T780" s="12"/>
      <c r="U780" s="10" t="str">
        <f>HYPERLINK("https://pbs.twimg.com/profile_images/849945269890428928/BJBjy4wn.jpg","View")</f>
        <v>View</v>
      </c>
    </row>
    <row r="781" spans="1:21" ht="20.399999999999999">
      <c r="A781" s="6">
        <v>43427.364652777775</v>
      </c>
      <c r="B781" s="7" t="str">
        <f>HYPERLINK("https://twitter.com/Joan9_9","@Joan9_9")</f>
        <v>@Joan9_9</v>
      </c>
      <c r="C781" s="8" t="s">
        <v>3310</v>
      </c>
      <c r="D781" s="9" t="s">
        <v>3311</v>
      </c>
      <c r="E781" s="10" t="str">
        <f>HYPERLINK("https://twitter.com/Joan9_9/status/1065873863190433792","1065873863190433792")</f>
        <v>1065873863190433792</v>
      </c>
      <c r="F781" s="12"/>
      <c r="G781" s="12"/>
      <c r="H781" s="12"/>
      <c r="I781" s="13">
        <v>2</v>
      </c>
      <c r="J781" s="13">
        <v>3</v>
      </c>
      <c r="K781" s="14" t="str">
        <f t="shared" si="138"/>
        <v>Twitter for Android</v>
      </c>
      <c r="L781" s="13">
        <v>123</v>
      </c>
      <c r="M781" s="13">
        <v>348</v>
      </c>
      <c r="N781" s="13">
        <v>2</v>
      </c>
      <c r="O781" s="15"/>
      <c r="P781" s="6">
        <v>41757.764247685183</v>
      </c>
      <c r="Q781" s="17" t="s">
        <v>3312</v>
      </c>
      <c r="R781" s="18" t="s">
        <v>3313</v>
      </c>
      <c r="S781" s="12"/>
      <c r="T781" s="12"/>
      <c r="U781" s="10" t="str">
        <f>HYPERLINK("https://pbs.twimg.com/profile_images/1006241861793697793/U_mpDDcU.jpg","View")</f>
        <v>View</v>
      </c>
    </row>
    <row r="782" spans="1:21" ht="51">
      <c r="A782" s="6">
        <v>43427.363125000003</v>
      </c>
      <c r="B782" s="7" t="str">
        <f>HYPERLINK("https://twitter.com/pablofluiters","@pablofluiters")</f>
        <v>@pablofluiters</v>
      </c>
      <c r="C782" s="8" t="s">
        <v>2365</v>
      </c>
      <c r="D782" s="9" t="s">
        <v>3314</v>
      </c>
      <c r="E782" s="10" t="str">
        <f>HYPERLINK("https://twitter.com/pablofluiters/status/1065873307805917184","1065873307805917184")</f>
        <v>1065873307805917184</v>
      </c>
      <c r="F782" s="17" t="s">
        <v>3315</v>
      </c>
      <c r="G782" s="11" t="s">
        <v>3316</v>
      </c>
      <c r="H782" s="12"/>
      <c r="I782" s="13">
        <v>0</v>
      </c>
      <c r="J782" s="13">
        <v>3</v>
      </c>
      <c r="K782" s="14" t="str">
        <f t="shared" si="138"/>
        <v>Twitter for Android</v>
      </c>
      <c r="L782" s="13">
        <v>2886</v>
      </c>
      <c r="M782" s="13">
        <v>283</v>
      </c>
      <c r="N782" s="13">
        <v>47</v>
      </c>
      <c r="O782" s="15"/>
      <c r="P782" s="6">
        <v>41402.411747685182</v>
      </c>
      <c r="Q782" s="12"/>
      <c r="R782" s="18" t="s">
        <v>3317</v>
      </c>
      <c r="S782" s="11" t="s">
        <v>3318</v>
      </c>
      <c r="T782" s="12"/>
      <c r="U782" s="10" t="str">
        <f>HYPERLINK("https://pbs.twimg.com/profile_images/1029401260477374464/6q3S1cxt.jpg","View")</f>
        <v>View</v>
      </c>
    </row>
    <row r="783" spans="1:21" ht="40.799999999999997">
      <c r="A783" s="6">
        <v>43427.362534722226</v>
      </c>
      <c r="B783" s="7" t="str">
        <f>HYPERLINK("https://twitter.com/jaimeberenguer","@jaimeberenguer")</f>
        <v>@jaimeberenguer</v>
      </c>
      <c r="C783" s="8" t="s">
        <v>3319</v>
      </c>
      <c r="D783" s="9" t="s">
        <v>3320</v>
      </c>
      <c r="E783" s="10" t="str">
        <f>HYPERLINK("https://twitter.com/jaimeberenguer/status/1065873097117655041","1065873097117655041")</f>
        <v>1065873097117655041</v>
      </c>
      <c r="F783" s="12"/>
      <c r="G783" s="11" t="s">
        <v>3321</v>
      </c>
      <c r="H783" s="12"/>
      <c r="I783" s="13">
        <v>6</v>
      </c>
      <c r="J783" s="13">
        <v>9</v>
      </c>
      <c r="K783" s="14" t="str">
        <f>HYPERLINK("http://twitter.com/download/iphone","Twitter for iPhone")</f>
        <v>Twitter for iPhone</v>
      </c>
      <c r="L783" s="13">
        <v>14483</v>
      </c>
      <c r="M783" s="13">
        <v>2710</v>
      </c>
      <c r="N783" s="13">
        <v>211</v>
      </c>
      <c r="O783" s="15"/>
      <c r="P783" s="6">
        <v>40040.424120370371</v>
      </c>
      <c r="Q783" s="12"/>
      <c r="R783" s="18" t="s">
        <v>3322</v>
      </c>
      <c r="S783" s="12"/>
      <c r="T783" s="12"/>
      <c r="U783" s="10" t="str">
        <f>HYPERLINK("https://pbs.twimg.com/profile_images/1048222448372604936/LV72DRWb.jpg","View")</f>
        <v>View</v>
      </c>
    </row>
    <row r="784" spans="1:21" ht="30.6">
      <c r="A784" s="6">
        <v>43427.361655092594</v>
      </c>
      <c r="B784" s="7" t="str">
        <f>HYPERLINK("https://twitter.com/elperiodico","@elperiodico")</f>
        <v>@elperiodico</v>
      </c>
      <c r="C784" s="8" t="s">
        <v>300</v>
      </c>
      <c r="D784" s="9" t="s">
        <v>2295</v>
      </c>
      <c r="E784" s="10" t="str">
        <f>HYPERLINK("https://twitter.com/elperiodico/status/1065872777876508672","1065872777876508672")</f>
        <v>1065872777876508672</v>
      </c>
      <c r="F784" s="11" t="s">
        <v>3323</v>
      </c>
      <c r="G784" s="12"/>
      <c r="H784" s="12"/>
      <c r="I784" s="13">
        <v>3</v>
      </c>
      <c r="J784" s="13">
        <v>5</v>
      </c>
      <c r="K784" s="14" t="str">
        <f>HYPERLINK("http://dogtrack.es","DogTrack_Oficial")</f>
        <v>DogTrack_Oficial</v>
      </c>
      <c r="L784" s="13">
        <v>596514</v>
      </c>
      <c r="M784" s="13">
        <v>18498</v>
      </c>
      <c r="N784" s="13">
        <v>6922</v>
      </c>
      <c r="O784" s="16" t="s">
        <v>26</v>
      </c>
      <c r="P784" s="6">
        <v>40456.539560185185</v>
      </c>
      <c r="Q784" s="17" t="s">
        <v>191</v>
      </c>
      <c r="R784" s="18" t="s">
        <v>308</v>
      </c>
      <c r="S784" s="11" t="s">
        <v>309</v>
      </c>
      <c r="T784" s="12"/>
      <c r="U784" s="10" t="str">
        <f>HYPERLINK("https://pbs.twimg.com/profile_images/876802324135653377/s4G6oS9o.jpg","View")</f>
        <v>View</v>
      </c>
    </row>
    <row r="785" spans="1:21" ht="40.799999999999997">
      <c r="A785" s="6">
        <v>43427.361238425925</v>
      </c>
      <c r="B785" s="7" t="str">
        <f>HYPERLINK("https://twitter.com/antonioperal","@antonioperal")</f>
        <v>@antonioperal</v>
      </c>
      <c r="C785" s="8" t="s">
        <v>3324</v>
      </c>
      <c r="D785" s="9" t="s">
        <v>3325</v>
      </c>
      <c r="E785" s="10" t="str">
        <f>HYPERLINK("https://twitter.com/antonioperal/status/1065872624256016384","1065872624256016384")</f>
        <v>1065872624256016384</v>
      </c>
      <c r="F785" s="11" t="s">
        <v>3326</v>
      </c>
      <c r="G785" s="12"/>
      <c r="H785" s="12"/>
      <c r="I785" s="13">
        <v>6</v>
      </c>
      <c r="J785" s="13">
        <v>4</v>
      </c>
      <c r="K785" s="14" t="str">
        <f>HYPERLINK("http://twitter.com/download/iphone","Twitter for iPhone")</f>
        <v>Twitter for iPhone</v>
      </c>
      <c r="L785" s="13">
        <v>17604</v>
      </c>
      <c r="M785" s="13">
        <v>12087</v>
      </c>
      <c r="N785" s="13">
        <v>283</v>
      </c>
      <c r="O785" s="15"/>
      <c r="P785" s="6">
        <v>40232.406469907408</v>
      </c>
      <c r="Q785" s="17" t="s">
        <v>3327</v>
      </c>
      <c r="R785" s="18" t="s">
        <v>3328</v>
      </c>
      <c r="S785" s="11" t="s">
        <v>3329</v>
      </c>
      <c r="T785" s="12"/>
      <c r="U785" s="10" t="str">
        <f>HYPERLINK("https://pbs.twimg.com/profile_images/886138908311990273/JuZB9dVx.jpg","View")</f>
        <v>View</v>
      </c>
    </row>
    <row r="786" spans="1:21" ht="30.6">
      <c r="A786" s="6">
        <v>43427.361111111109</v>
      </c>
      <c r="B786" s="7" t="str">
        <f>HYPERLINK("https://twitter.com/mareaxenaterra","@mareaxenaterra")</f>
        <v>@mareaxenaterra</v>
      </c>
      <c r="C786" s="8" t="s">
        <v>3330</v>
      </c>
      <c r="D786" s="9" t="s">
        <v>3331</v>
      </c>
      <c r="E786" s="10" t="str">
        <f>HYPERLINK("https://twitter.com/mareaxenaterra/status/1065872579381157888","1065872579381157888")</f>
        <v>1065872579381157888</v>
      </c>
      <c r="F786" s="11" t="s">
        <v>3332</v>
      </c>
      <c r="G786" s="11" t="s">
        <v>3333</v>
      </c>
      <c r="H786" s="12"/>
      <c r="I786" s="13">
        <v>0</v>
      </c>
      <c r="J786" s="13">
        <v>0</v>
      </c>
      <c r="K786" s="14" t="str">
        <f>HYPERLINK("http://twitter.com","Twitter Web Client")</f>
        <v>Twitter Web Client</v>
      </c>
      <c r="L786" s="13">
        <v>1148</v>
      </c>
      <c r="M786" s="13">
        <v>29</v>
      </c>
      <c r="N786" s="13">
        <v>27</v>
      </c>
      <c r="O786" s="15"/>
      <c r="P786" s="6">
        <v>40628.876979166671</v>
      </c>
      <c r="Q786" s="17" t="s">
        <v>3334</v>
      </c>
      <c r="R786" s="18" t="s">
        <v>3335</v>
      </c>
      <c r="S786" s="11" t="s">
        <v>3336</v>
      </c>
      <c r="T786" s="12"/>
      <c r="U786" s="10" t="str">
        <f>HYPERLINK("https://pbs.twimg.com/profile_images/1015718108714201096/XIoR4maw.jpg","View")</f>
        <v>View</v>
      </c>
    </row>
    <row r="787" spans="1:21" ht="20.399999999999999">
      <c r="A787" s="6">
        <v>43427.361087962963</v>
      </c>
      <c r="B787" s="7" t="str">
        <f>HYPERLINK("https://twitter.com/periodistadigit","@periodistadigit")</f>
        <v>@periodistadigit</v>
      </c>
      <c r="C787" s="8" t="s">
        <v>599</v>
      </c>
      <c r="D787" s="9" t="s">
        <v>3337</v>
      </c>
      <c r="E787" s="10" t="str">
        <f>HYPERLINK("https://twitter.com/periodistadigit/status/1065872569662926850","1065872569662926850")</f>
        <v>1065872569662926850</v>
      </c>
      <c r="F787" s="11" t="s">
        <v>1841</v>
      </c>
      <c r="G787" s="12"/>
      <c r="H787" s="12"/>
      <c r="I787" s="13">
        <v>1</v>
      </c>
      <c r="J787" s="13">
        <v>0</v>
      </c>
      <c r="K787" s="14" t="str">
        <f t="shared" ref="K787:K788" si="139">HYPERLINK("https://about.twitter.com/products/tweetdeck","TweetDeck")</f>
        <v>TweetDeck</v>
      </c>
      <c r="L787" s="13">
        <v>56097</v>
      </c>
      <c r="M787" s="13">
        <v>3791</v>
      </c>
      <c r="N787" s="13">
        <v>1469</v>
      </c>
      <c r="O787" s="16" t="s">
        <v>26</v>
      </c>
      <c r="P787" s="6">
        <v>40084.916296296295</v>
      </c>
      <c r="Q787" s="17" t="s">
        <v>72</v>
      </c>
      <c r="R787" s="18" t="s">
        <v>601</v>
      </c>
      <c r="S787" s="11" t="s">
        <v>74</v>
      </c>
      <c r="T787" s="12"/>
      <c r="U787" s="10" t="str">
        <f>HYPERLINK("https://pbs.twimg.com/profile_images/1913331873/periodista-digital.jpg","View")</f>
        <v>View</v>
      </c>
    </row>
    <row r="788" spans="1:21" ht="13.2">
      <c r="A788" s="6">
        <v>43427.36100694444</v>
      </c>
      <c r="B788" s="7" t="str">
        <f>HYPERLINK("https://twitter.com/juanvelarde72","@juanvelarde72")</f>
        <v>@juanvelarde72</v>
      </c>
      <c r="C788" s="8" t="s">
        <v>603</v>
      </c>
      <c r="D788" s="9" t="s">
        <v>3337</v>
      </c>
      <c r="E788" s="10" t="str">
        <f>HYPERLINK("https://twitter.com/juanvelarde72/status/1065872543163314177","1065872543163314177")</f>
        <v>1065872543163314177</v>
      </c>
      <c r="F788" s="11" t="s">
        <v>1841</v>
      </c>
      <c r="G788" s="12"/>
      <c r="H788" s="12"/>
      <c r="I788" s="13">
        <v>0</v>
      </c>
      <c r="J788" s="13">
        <v>0</v>
      </c>
      <c r="K788" s="14" t="str">
        <f t="shared" si="139"/>
        <v>TweetDeck</v>
      </c>
      <c r="L788" s="13">
        <v>1615</v>
      </c>
      <c r="M788" s="13">
        <v>1578</v>
      </c>
      <c r="N788" s="13">
        <v>22</v>
      </c>
      <c r="O788" s="15"/>
      <c r="P788" s="6">
        <v>42289.95722222222</v>
      </c>
      <c r="Q788" s="17" t="s">
        <v>141</v>
      </c>
      <c r="R788" s="19"/>
      <c r="S788" s="11" t="s">
        <v>604</v>
      </c>
      <c r="T788" s="12"/>
      <c r="U788" s="10" t="str">
        <f>HYPERLINK("https://pbs.twimg.com/profile_images/996096460885233664/fOo4zl1U.jpg","View")</f>
        <v>View</v>
      </c>
    </row>
    <row r="789" spans="1:21" ht="40.799999999999997">
      <c r="A789" s="6">
        <v>43427.360578703709</v>
      </c>
      <c r="B789" s="7" t="str">
        <f>HYPERLINK("https://twitter.com/Jorge_Vilches","@Jorge_Vilches")</f>
        <v>@Jorge_Vilches</v>
      </c>
      <c r="C789" s="8" t="s">
        <v>3338</v>
      </c>
      <c r="D789" s="9" t="s">
        <v>3339</v>
      </c>
      <c r="E789" s="10" t="str">
        <f>HYPERLINK("https://twitter.com/Jorge_Vilches/status/1065872387525218304","1065872387525218304")</f>
        <v>1065872387525218304</v>
      </c>
      <c r="F789" s="11" t="s">
        <v>3340</v>
      </c>
      <c r="G789" s="12"/>
      <c r="H789" s="12"/>
      <c r="I789" s="13">
        <v>6</v>
      </c>
      <c r="J789" s="13">
        <v>10</v>
      </c>
      <c r="K789" s="14" t="str">
        <f t="shared" ref="K789:K791" si="140">HYPERLINK("http://twitter.com","Twitter Web Client")</f>
        <v>Twitter Web Client</v>
      </c>
      <c r="L789" s="13">
        <v>6245</v>
      </c>
      <c r="M789" s="13">
        <v>1407</v>
      </c>
      <c r="N789" s="13">
        <v>114</v>
      </c>
      <c r="O789" s="15"/>
      <c r="P789" s="6">
        <v>40658.619849537034</v>
      </c>
      <c r="Q789" s="17" t="s">
        <v>72</v>
      </c>
      <c r="R789" s="18" t="s">
        <v>3341</v>
      </c>
      <c r="S789" s="12"/>
      <c r="T789" s="12"/>
      <c r="U789" s="10" t="str">
        <f>HYPERLINK("https://pbs.twimg.com/profile_images/795722966529142784/7Uxkgv09.jpg","View")</f>
        <v>View</v>
      </c>
    </row>
    <row r="790" spans="1:21" ht="30.6">
      <c r="A790" s="6">
        <v>43427.360486111109</v>
      </c>
      <c r="B790" s="7" t="str">
        <f>HYPERLINK("https://twitter.com/carlosdd59","@carlosdd59")</f>
        <v>@carlosdd59</v>
      </c>
      <c r="C790" s="8" t="s">
        <v>3342</v>
      </c>
      <c r="D790" s="9" t="s">
        <v>3343</v>
      </c>
      <c r="E790" s="10" t="str">
        <f>HYPERLINK("https://twitter.com/carlosdd59/status/1065872354591600641","1065872354591600641")</f>
        <v>1065872354591600641</v>
      </c>
      <c r="F790" s="11" t="s">
        <v>3344</v>
      </c>
      <c r="G790" s="11" t="s">
        <v>3345</v>
      </c>
      <c r="H790" s="12"/>
      <c r="I790" s="13">
        <v>1</v>
      </c>
      <c r="J790" s="13">
        <v>0</v>
      </c>
      <c r="K790" s="14" t="str">
        <f t="shared" si="140"/>
        <v>Twitter Web Client</v>
      </c>
      <c r="L790" s="13">
        <v>9031</v>
      </c>
      <c r="M790" s="13">
        <v>8183</v>
      </c>
      <c r="N790" s="13">
        <v>123</v>
      </c>
      <c r="O790" s="15"/>
      <c r="P790" s="6">
        <v>41231.580868055556</v>
      </c>
      <c r="Q790" s="12"/>
      <c r="R790" s="18" t="s">
        <v>3346</v>
      </c>
      <c r="S790" s="11" t="s">
        <v>3347</v>
      </c>
      <c r="T790" s="12"/>
      <c r="U790" s="10" t="str">
        <f>HYPERLINK("https://pbs.twimg.com/profile_images/739853949902172160/GVF4tMH4.jpg","View")</f>
        <v>View</v>
      </c>
    </row>
    <row r="791" spans="1:21" ht="30.6">
      <c r="A791" s="6">
        <v>43427.36038194444</v>
      </c>
      <c r="B791" s="7" t="str">
        <f>HYPERLINK("https://twitter.com/MediodiaOC","@MediodiaOC")</f>
        <v>@MediodiaOC</v>
      </c>
      <c r="C791" s="8" t="s">
        <v>3348</v>
      </c>
      <c r="D791" s="9" t="s">
        <v>3349</v>
      </c>
      <c r="E791" s="10" t="str">
        <f>HYPERLINK("https://twitter.com/MediodiaOC/status/1065872315899088897","1065872315899088897")</f>
        <v>1065872315899088897</v>
      </c>
      <c r="F791" s="11" t="s">
        <v>3350</v>
      </c>
      <c r="G791" s="11" t="s">
        <v>3351</v>
      </c>
      <c r="H791" s="12"/>
      <c r="I791" s="13">
        <v>0</v>
      </c>
      <c r="J791" s="13">
        <v>0</v>
      </c>
      <c r="K791" s="14" t="str">
        <f t="shared" si="140"/>
        <v>Twitter Web Client</v>
      </c>
      <c r="L791" s="13">
        <v>6800</v>
      </c>
      <c r="M791" s="13">
        <v>416</v>
      </c>
      <c r="N791" s="13">
        <v>63</v>
      </c>
      <c r="O791" s="15"/>
      <c r="P791" s="6">
        <v>42268.657025462962</v>
      </c>
      <c r="Q791" s="17" t="s">
        <v>28</v>
      </c>
      <c r="R791" s="18" t="s">
        <v>3352</v>
      </c>
      <c r="S791" s="11" t="s">
        <v>3353</v>
      </c>
      <c r="T791" s="12"/>
      <c r="U791" s="10" t="str">
        <f>HYPERLINK("https://pbs.twimg.com/profile_images/1051821817827139584/rG2G_Uda.jpg","View")</f>
        <v>View</v>
      </c>
    </row>
    <row r="792" spans="1:21" ht="30.6">
      <c r="A792" s="6">
        <v>43427.359212962961</v>
      </c>
      <c r="B792" s="7" t="str">
        <f>HYPERLINK("https://twitter.com/Dan_Aeon","@Dan_Aeon")</f>
        <v>@Dan_Aeon</v>
      </c>
      <c r="C792" s="8" t="s">
        <v>3354</v>
      </c>
      <c r="D792" s="9" t="s">
        <v>3355</v>
      </c>
      <c r="E792" s="10" t="str">
        <f>HYPERLINK("https://twitter.com/Dan_Aeon/status/1065871890932252672","1065871890932252672")</f>
        <v>1065871890932252672</v>
      </c>
      <c r="F792" s="12"/>
      <c r="G792" s="11" t="s">
        <v>3356</v>
      </c>
      <c r="H792" s="12"/>
      <c r="I792" s="13">
        <v>9</v>
      </c>
      <c r="J792" s="13">
        <v>9</v>
      </c>
      <c r="K792" s="14" t="str">
        <f>HYPERLINK("http://twitter.com/download/android","Twitter for Android")</f>
        <v>Twitter for Android</v>
      </c>
      <c r="L792" s="13">
        <v>587</v>
      </c>
      <c r="M792" s="13">
        <v>393</v>
      </c>
      <c r="N792" s="13">
        <v>10</v>
      </c>
      <c r="O792" s="15"/>
      <c r="P792" s="6">
        <v>43036.298321759255</v>
      </c>
      <c r="Q792" s="17" t="s">
        <v>436</v>
      </c>
      <c r="R792" s="18" t="s">
        <v>3357</v>
      </c>
      <c r="S792" s="12"/>
      <c r="T792" s="12"/>
      <c r="U792" s="10" t="str">
        <f>HYPERLINK("https://pbs.twimg.com/profile_images/1065514618079055872/oth05Kg7.jpg","View")</f>
        <v>View</v>
      </c>
    </row>
    <row r="793" spans="1:21" ht="20.399999999999999">
      <c r="A793" s="6">
        <v>43427.359143518523</v>
      </c>
      <c r="B793" s="7" t="str">
        <f>HYPERLINK("https://twitter.com/mjerz7","@mjerz7")</f>
        <v>@mjerz7</v>
      </c>
      <c r="C793" s="8" t="s">
        <v>3358</v>
      </c>
      <c r="D793" s="9" t="s">
        <v>3359</v>
      </c>
      <c r="E793" s="10" t="str">
        <f>HYPERLINK("https://twitter.com/mjerz7/status/1065871864571023360","1065871864571023360")</f>
        <v>1065871864571023360</v>
      </c>
      <c r="F793" s="12"/>
      <c r="G793" s="12"/>
      <c r="H793" s="12"/>
      <c r="I793" s="13">
        <v>0</v>
      </c>
      <c r="J793" s="13">
        <v>1</v>
      </c>
      <c r="K793" s="14" t="str">
        <f>HYPERLINK("http://twitter.com/#!/download/ipad","Twitter for iPad")</f>
        <v>Twitter for iPad</v>
      </c>
      <c r="L793" s="13">
        <v>224</v>
      </c>
      <c r="M793" s="13">
        <v>337</v>
      </c>
      <c r="N793" s="13">
        <v>14</v>
      </c>
      <c r="O793" s="15"/>
      <c r="P793" s="6">
        <v>41627.723703703705</v>
      </c>
      <c r="Q793" s="17" t="s">
        <v>870</v>
      </c>
      <c r="R793" s="19"/>
      <c r="S793" s="12"/>
      <c r="T793" s="12"/>
      <c r="U793" s="10" t="str">
        <f>HYPERLINK("https://pbs.twimg.com/profile_images/1039294332157812736/CqXOAsIz.jpg","View")</f>
        <v>View</v>
      </c>
    </row>
    <row r="794" spans="1:21" ht="20.399999999999999">
      <c r="A794" s="6">
        <v>43427.3591087963</v>
      </c>
      <c r="B794" s="7" t="str">
        <f>HYPERLINK("https://twitter.com/MariaDo69098421","@MariaDo69098421")</f>
        <v>@MariaDo69098421</v>
      </c>
      <c r="C794" s="8" t="s">
        <v>3360</v>
      </c>
      <c r="D794" s="9" t="s">
        <v>2981</v>
      </c>
      <c r="E794" s="10" t="str">
        <f>HYPERLINK("https://twitter.com/MariaDo69098421/status/1065871851547701250","1065871851547701250")</f>
        <v>1065871851547701250</v>
      </c>
      <c r="F794" s="11" t="s">
        <v>3361</v>
      </c>
      <c r="G794" s="12"/>
      <c r="H794" s="12"/>
      <c r="I794" s="13">
        <v>0</v>
      </c>
      <c r="J794" s="13">
        <v>0</v>
      </c>
      <c r="K794" s="14" t="str">
        <f t="shared" ref="K794:K795" si="141">HYPERLINK("http://twitter.com","Twitter Web Client")</f>
        <v>Twitter Web Client</v>
      </c>
      <c r="L794" s="13">
        <v>504</v>
      </c>
      <c r="M794" s="13">
        <v>815</v>
      </c>
      <c r="N794" s="13">
        <v>3</v>
      </c>
      <c r="O794" s="15"/>
      <c r="P794" s="6">
        <v>43187.477650462963</v>
      </c>
      <c r="Q794" s="12"/>
      <c r="R794" s="18" t="s">
        <v>3362</v>
      </c>
      <c r="S794" s="12"/>
      <c r="T794" s="12"/>
      <c r="U794" s="10" t="str">
        <f>HYPERLINK("https://pbs.twimg.com/profile_images/1024681311573827584/lMaAmft3.jpg","View")</f>
        <v>View</v>
      </c>
    </row>
    <row r="795" spans="1:21" ht="20.399999999999999">
      <c r="A795" s="6">
        <v>43427.358749999999</v>
      </c>
      <c r="B795" s="7" t="str">
        <f>HYPERLINK("https://twitter.com/mathusal9","@mathusal9")</f>
        <v>@mathusal9</v>
      </c>
      <c r="C795" s="8" t="s">
        <v>3363</v>
      </c>
      <c r="D795" s="9" t="s">
        <v>1596</v>
      </c>
      <c r="E795" s="10" t="str">
        <f>HYPERLINK("https://twitter.com/mathusal9/status/1065871725622108160","1065871725622108160")</f>
        <v>1065871725622108160</v>
      </c>
      <c r="F795" s="11" t="s">
        <v>87</v>
      </c>
      <c r="G795" s="12"/>
      <c r="H795" s="12"/>
      <c r="I795" s="13">
        <v>0</v>
      </c>
      <c r="J795" s="13">
        <v>0</v>
      </c>
      <c r="K795" s="14" t="str">
        <f t="shared" si="141"/>
        <v>Twitter Web Client</v>
      </c>
      <c r="L795" s="13">
        <v>692</v>
      </c>
      <c r="M795" s="13">
        <v>1747</v>
      </c>
      <c r="N795" s="13">
        <v>3</v>
      </c>
      <c r="O795" s="15"/>
      <c r="P795" s="6">
        <v>43049.798819444448</v>
      </c>
      <c r="Q795" s="17" t="s">
        <v>619</v>
      </c>
      <c r="R795" s="18" t="s">
        <v>3364</v>
      </c>
      <c r="S795" s="12"/>
      <c r="T795" s="12"/>
      <c r="U795" s="10" t="str">
        <f>HYPERLINK("https://pbs.twimg.com/profile_images/936494587761385472/4QRLIAtv.jpg","View")</f>
        <v>View</v>
      </c>
    </row>
    <row r="796" spans="1:21" ht="40.799999999999997">
      <c r="A796" s="6">
        <v>43427.35864583333</v>
      </c>
      <c r="B796" s="7" t="str">
        <f>HYPERLINK("https://twitter.com/aurelio_fdez","@aurelio_fdez")</f>
        <v>@aurelio_fdez</v>
      </c>
      <c r="C796" s="8" t="s">
        <v>3365</v>
      </c>
      <c r="D796" s="9" t="s">
        <v>3366</v>
      </c>
      <c r="E796" s="10" t="str">
        <f>HYPERLINK("https://twitter.com/aurelio_fdez/status/1065871687932133376","1065871687932133376")</f>
        <v>1065871687932133376</v>
      </c>
      <c r="F796" s="12"/>
      <c r="G796" s="12"/>
      <c r="H796" s="12"/>
      <c r="I796" s="13">
        <v>1</v>
      </c>
      <c r="J796" s="13">
        <v>0</v>
      </c>
      <c r="K796" s="14" t="str">
        <f>HYPERLINK("http://twitter.com/download/iphone","Twitter for iPhone")</f>
        <v>Twitter for iPhone</v>
      </c>
      <c r="L796" s="13">
        <v>2299</v>
      </c>
      <c r="M796" s="13">
        <v>451</v>
      </c>
      <c r="N796" s="13">
        <v>116</v>
      </c>
      <c r="O796" s="15"/>
      <c r="P796" s="6">
        <v>40635.394456018519</v>
      </c>
      <c r="Q796" s="17" t="s">
        <v>72</v>
      </c>
      <c r="R796" s="18" t="s">
        <v>3367</v>
      </c>
      <c r="S796" s="12"/>
      <c r="T796" s="12"/>
      <c r="U796" s="10" t="str">
        <f>HYPERLINK("https://pbs.twimg.com/profile_images/972528409808121856/nG9kNTxs.jpg","View")</f>
        <v>View</v>
      </c>
    </row>
    <row r="797" spans="1:21" ht="40.799999999999997">
      <c r="A797" s="6">
        <v>43427.358576388884</v>
      </c>
      <c r="B797" s="7" t="str">
        <f>HYPERLINK("https://twitter.com/_23Sergio","@_23Sergio")</f>
        <v>@_23Sergio</v>
      </c>
      <c r="C797" s="8" t="s">
        <v>621</v>
      </c>
      <c r="D797" s="9" t="s">
        <v>3368</v>
      </c>
      <c r="E797" s="10" t="str">
        <f>HYPERLINK("https://twitter.com/_23Sergio/status/1065871661629677569","1065871661629677569")</f>
        <v>1065871661629677569</v>
      </c>
      <c r="F797" s="11" t="s">
        <v>3369</v>
      </c>
      <c r="G797" s="12"/>
      <c r="H797" s="12"/>
      <c r="I797" s="13">
        <v>1</v>
      </c>
      <c r="J797" s="13">
        <v>2</v>
      </c>
      <c r="K797" s="14" t="str">
        <f>HYPERLINK("http://twitter.com/download/android","Twitter for Android")</f>
        <v>Twitter for Android</v>
      </c>
      <c r="L797" s="13">
        <v>1051</v>
      </c>
      <c r="M797" s="13">
        <v>1094</v>
      </c>
      <c r="N797" s="13">
        <v>12</v>
      </c>
      <c r="O797" s="15"/>
      <c r="P797" s="6">
        <v>40503.781458333331</v>
      </c>
      <c r="Q797" s="17" t="s">
        <v>623</v>
      </c>
      <c r="R797" s="18" t="s">
        <v>624</v>
      </c>
      <c r="S797" s="12"/>
      <c r="T797" s="12"/>
      <c r="U797" s="10" t="str">
        <f>HYPERLINK("https://pbs.twimg.com/profile_images/959348744822157312/wUGKBFb3.jpg","View")</f>
        <v>View</v>
      </c>
    </row>
    <row r="798" spans="1:21" ht="40.799999999999997">
      <c r="A798" s="6">
        <v>43427.358530092592</v>
      </c>
      <c r="B798" s="7" t="str">
        <f>HYPERLINK("https://twitter.com/mallorcadiario","@mallorcadiario")</f>
        <v>@mallorcadiario</v>
      </c>
      <c r="C798" s="20" t="s">
        <v>3370</v>
      </c>
      <c r="D798" s="9" t="s">
        <v>3371</v>
      </c>
      <c r="E798" s="10" t="str">
        <f>HYPERLINK("https://twitter.com/mallorcadiario/status/1065871642344198144","1065871642344198144")</f>
        <v>1065871642344198144</v>
      </c>
      <c r="F798" s="11" t="s">
        <v>3372</v>
      </c>
      <c r="G798" s="12"/>
      <c r="H798" s="12"/>
      <c r="I798" s="13">
        <v>0</v>
      </c>
      <c r="J798" s="13">
        <v>0</v>
      </c>
      <c r="K798" s="14" t="str">
        <f t="shared" ref="K798:K799" si="142">HYPERLINK("http://twitter.com","Twitter Web Client")</f>
        <v>Twitter Web Client</v>
      </c>
      <c r="L798" s="13">
        <v>14170</v>
      </c>
      <c r="M798" s="13">
        <v>732</v>
      </c>
      <c r="N798" s="13">
        <v>345</v>
      </c>
      <c r="O798" s="16" t="s">
        <v>26</v>
      </c>
      <c r="P798" s="6">
        <v>40555.791655092595</v>
      </c>
      <c r="Q798" s="17" t="s">
        <v>225</v>
      </c>
      <c r="R798" s="18" t="s">
        <v>3373</v>
      </c>
      <c r="S798" s="11" t="s">
        <v>3374</v>
      </c>
      <c r="T798" s="12"/>
      <c r="U798" s="10" t="str">
        <f>HYPERLINK("https://pbs.twimg.com/profile_images/776351000005382144/cpDRFXlx.jpg","View")</f>
        <v>View</v>
      </c>
    </row>
    <row r="799" spans="1:21" ht="51">
      <c r="A799" s="6">
        <v>43427.357395833329</v>
      </c>
      <c r="B799" s="7" t="str">
        <f>HYPERLINK("https://twitter.com/MasDeUno","@MasDeUno")</f>
        <v>@MasDeUno</v>
      </c>
      <c r="C799" s="8" t="s">
        <v>3375</v>
      </c>
      <c r="D799" s="9" t="s">
        <v>3376</v>
      </c>
      <c r="E799" s="10" t="str">
        <f>HYPERLINK("https://twitter.com/MasDeUno/status/1065871233680646144","1065871233680646144")</f>
        <v>1065871233680646144</v>
      </c>
      <c r="F799" s="11" t="s">
        <v>3377</v>
      </c>
      <c r="G799" s="11" t="s">
        <v>3378</v>
      </c>
      <c r="H799" s="12"/>
      <c r="I799" s="13">
        <v>1</v>
      </c>
      <c r="J799" s="13">
        <v>0</v>
      </c>
      <c r="K799" s="14" t="str">
        <f t="shared" si="142"/>
        <v>Twitter Web Client</v>
      </c>
      <c r="L799" s="13">
        <v>49520</v>
      </c>
      <c r="M799" s="13">
        <v>259</v>
      </c>
      <c r="N799" s="13">
        <v>506</v>
      </c>
      <c r="O799" s="16" t="s">
        <v>26</v>
      </c>
      <c r="P799" s="6">
        <v>42088.51399305556</v>
      </c>
      <c r="Q799" s="12"/>
      <c r="R799" s="18" t="s">
        <v>3379</v>
      </c>
      <c r="S799" s="11" t="s">
        <v>3380</v>
      </c>
      <c r="T799" s="12"/>
      <c r="U799" s="10" t="str">
        <f>HYPERLINK("https://pbs.twimg.com/profile_images/581419702653698048/nUHjNg6A.jpg","View")</f>
        <v>View</v>
      </c>
    </row>
    <row r="800" spans="1:21" ht="40.799999999999997">
      <c r="A800" s="6">
        <v>43427.357199074075</v>
      </c>
      <c r="B800" s="7" t="str">
        <f>HYPERLINK("https://twitter.com/_okdario","@_okdario")</f>
        <v>@_okdario</v>
      </c>
      <c r="C800" s="8" t="s">
        <v>3381</v>
      </c>
      <c r="D800" s="9" t="s">
        <v>3382</v>
      </c>
      <c r="E800" s="10" t="str">
        <f>HYPERLINK("https://twitter.com/_okdario/status/1065871161001721858","1065871161001721858")</f>
        <v>1065871161001721858</v>
      </c>
      <c r="F800" s="12"/>
      <c r="G800" s="11" t="s">
        <v>3383</v>
      </c>
      <c r="H800" s="12"/>
      <c r="I800" s="13">
        <v>16</v>
      </c>
      <c r="J800" s="13">
        <v>25</v>
      </c>
      <c r="K800" s="14" t="str">
        <f>HYPERLINK("https://www.hootsuite.com","Hootsuite Inc.")</f>
        <v>Hootsuite Inc.</v>
      </c>
      <c r="L800" s="13">
        <v>10283</v>
      </c>
      <c r="M800" s="13">
        <v>50</v>
      </c>
      <c r="N800" s="13">
        <v>57</v>
      </c>
      <c r="O800" s="15"/>
      <c r="P800" s="6">
        <v>42954.869409722218</v>
      </c>
      <c r="Q800" s="17" t="s">
        <v>141</v>
      </c>
      <c r="R800" s="18" t="s">
        <v>3384</v>
      </c>
      <c r="S800" s="12"/>
      <c r="T800" s="12"/>
      <c r="U800" s="10" t="str">
        <f>HYPERLINK("https://pbs.twimg.com/profile_images/915893625485131781/Y66Ys1X6.jpg","View")</f>
        <v>View</v>
      </c>
    </row>
    <row r="801" spans="1:21" ht="30.6">
      <c r="A801" s="6">
        <v>43427.356747685189</v>
      </c>
      <c r="B801" s="7" t="str">
        <f>HYPERLINK("https://twitter.com/periodicovzlano","@periodicovzlano")</f>
        <v>@periodicovzlano</v>
      </c>
      <c r="C801" s="8" t="s">
        <v>97</v>
      </c>
      <c r="D801" s="9" t="s">
        <v>98</v>
      </c>
      <c r="E801" s="10" t="str">
        <f>HYPERLINK("https://twitter.com/periodicovzlano/status/1065870998573117440","1065870998573117440")</f>
        <v>1065870998573117440</v>
      </c>
      <c r="F801" s="11" t="s">
        <v>99</v>
      </c>
      <c r="G801" s="11" t="s">
        <v>3385</v>
      </c>
      <c r="H801" s="12"/>
      <c r="I801" s="13">
        <v>0</v>
      </c>
      <c r="J801" s="13">
        <v>0</v>
      </c>
      <c r="K801" s="14" t="str">
        <f>HYPERLINK("http://epmundo.com","Tuiteo TOP EP (1)")</f>
        <v>Tuiteo TOP EP (1)</v>
      </c>
      <c r="L801" s="13">
        <v>479592</v>
      </c>
      <c r="M801" s="13">
        <v>359153</v>
      </c>
      <c r="N801" s="13">
        <v>1296</v>
      </c>
      <c r="O801" s="15"/>
      <c r="P801" s="6">
        <v>40663.3512962963</v>
      </c>
      <c r="Q801" s="17" t="s">
        <v>104</v>
      </c>
      <c r="R801" s="18" t="s">
        <v>105</v>
      </c>
      <c r="S801" s="11" t="s">
        <v>106</v>
      </c>
      <c r="T801" s="12"/>
      <c r="U801" s="10" t="str">
        <f>HYPERLINK("https://pbs.twimg.com/profile_images/958328579250638849/MCz7Q8U6.jpg","View")</f>
        <v>View</v>
      </c>
    </row>
    <row r="802" spans="1:21" ht="40.799999999999997">
      <c r="A802" s="6">
        <v>43427.356689814813</v>
      </c>
      <c r="B802" s="7" t="str">
        <f>HYPERLINK("https://twitter.com/ESTEVEZPACO","@ESTEVEZPACO")</f>
        <v>@ESTEVEZPACO</v>
      </c>
      <c r="C802" s="8" t="s">
        <v>520</v>
      </c>
      <c r="D802" s="9" t="s">
        <v>3386</v>
      </c>
      <c r="E802" s="10" t="str">
        <f>HYPERLINK("https://twitter.com/ESTEVEZPACO/status/1065870978327158784","1065870978327158784")</f>
        <v>1065870978327158784</v>
      </c>
      <c r="F802" s="11" t="s">
        <v>3387</v>
      </c>
      <c r="G802" s="12"/>
      <c r="H802" s="12"/>
      <c r="I802" s="13">
        <v>1</v>
      </c>
      <c r="J802" s="13">
        <v>0</v>
      </c>
      <c r="K802" s="14" t="str">
        <f t="shared" ref="K802:K803" si="143">HYPERLINK("http://twitter.com/download/android","Twitter for Android")</f>
        <v>Twitter for Android</v>
      </c>
      <c r="L802" s="13">
        <v>1990</v>
      </c>
      <c r="M802" s="13">
        <v>2928</v>
      </c>
      <c r="N802" s="13">
        <v>48</v>
      </c>
      <c r="O802" s="15"/>
      <c r="P802" s="6">
        <v>41041.548958333333</v>
      </c>
      <c r="Q802" s="17" t="s">
        <v>29</v>
      </c>
      <c r="R802" s="18" t="s">
        <v>523</v>
      </c>
      <c r="S802" s="11" t="s">
        <v>524</v>
      </c>
      <c r="T802" s="12"/>
      <c r="U802" s="10" t="str">
        <f>HYPERLINK("https://pbs.twimg.com/profile_images/1061674666341863424/QSLeLU_Z.jpg","View")</f>
        <v>View</v>
      </c>
    </row>
    <row r="803" spans="1:21" ht="51">
      <c r="A803" s="6">
        <v>43427.356469907405</v>
      </c>
      <c r="B803" s="7" t="str">
        <f>HYPERLINK("https://twitter.com/turismodejaen","@turismodejaen")</f>
        <v>@turismodejaen</v>
      </c>
      <c r="C803" s="8" t="s">
        <v>3388</v>
      </c>
      <c r="D803" s="9" t="s">
        <v>3389</v>
      </c>
      <c r="E803" s="10" t="str">
        <f>HYPERLINK("https://twitter.com/turismodejaen/status/1065870899260391424","1065870899260391424")</f>
        <v>1065870899260391424</v>
      </c>
      <c r="F803" s="12"/>
      <c r="G803" s="11" t="s">
        <v>3390</v>
      </c>
      <c r="H803" s="12"/>
      <c r="I803" s="13">
        <v>1</v>
      </c>
      <c r="J803" s="13">
        <v>3</v>
      </c>
      <c r="K803" s="14" t="str">
        <f t="shared" si="143"/>
        <v>Twitter for Android</v>
      </c>
      <c r="L803" s="13">
        <v>2581</v>
      </c>
      <c r="M803" s="13">
        <v>519</v>
      </c>
      <c r="N803" s="13">
        <v>39</v>
      </c>
      <c r="O803" s="15"/>
      <c r="P803" s="6">
        <v>42222.467326388884</v>
      </c>
      <c r="Q803" s="17" t="s">
        <v>3391</v>
      </c>
      <c r="R803" s="18" t="s">
        <v>3392</v>
      </c>
      <c r="S803" s="11" t="s">
        <v>3393</v>
      </c>
      <c r="T803" s="12"/>
      <c r="U803" s="10" t="str">
        <f>HYPERLINK("https://pbs.twimg.com/profile_images/781404243169251328/MLnULADo.jpg","View")</f>
        <v>View</v>
      </c>
    </row>
    <row r="804" spans="1:21" ht="51">
      <c r="A804" s="6">
        <v>43427.356145833328</v>
      </c>
      <c r="B804" s="7" t="str">
        <f>HYPERLINK("https://twitter.com/OnlyHAL2","@OnlyHAL2")</f>
        <v>@OnlyHAL2</v>
      </c>
      <c r="C804" s="8" t="s">
        <v>3394</v>
      </c>
      <c r="D804" s="9" t="s">
        <v>3395</v>
      </c>
      <c r="E804" s="10" t="str">
        <f>HYPERLINK("https://twitter.com/OnlyHAL2/status/1065870779500437504","1065870779500437504")</f>
        <v>1065870779500437504</v>
      </c>
      <c r="F804" s="12"/>
      <c r="G804" s="12"/>
      <c r="H804" s="12"/>
      <c r="I804" s="13">
        <v>3</v>
      </c>
      <c r="J804" s="13">
        <v>7</v>
      </c>
      <c r="K804" s="14" t="str">
        <f>HYPERLINK("http://twitter.com/download/iphone","Twitter for iPhone")</f>
        <v>Twitter for iPhone</v>
      </c>
      <c r="L804" s="13">
        <v>431</v>
      </c>
      <c r="M804" s="13">
        <v>449</v>
      </c>
      <c r="N804" s="13">
        <v>2</v>
      </c>
      <c r="O804" s="15"/>
      <c r="P804" s="6">
        <v>43237.50990740741</v>
      </c>
      <c r="Q804" s="17" t="s">
        <v>3396</v>
      </c>
      <c r="R804" s="18" t="s">
        <v>3397</v>
      </c>
      <c r="S804" s="12"/>
      <c r="T804" s="12"/>
      <c r="U804" s="10" t="str">
        <f>HYPERLINK("https://pbs.twimg.com/profile_images/998197039115587584/PnNodCi0.jpg","View")</f>
        <v>View</v>
      </c>
    </row>
    <row r="805" spans="1:21" ht="40.799999999999997">
      <c r="A805" s="6">
        <v>43427.35527777778</v>
      </c>
      <c r="B805" s="7" t="str">
        <f>HYPERLINK("https://twitter.com/ESTEVEZPACO","@ESTEVEZPACO")</f>
        <v>@ESTEVEZPACO</v>
      </c>
      <c r="C805" s="8" t="s">
        <v>520</v>
      </c>
      <c r="D805" s="9" t="s">
        <v>1156</v>
      </c>
      <c r="E805" s="10" t="str">
        <f>HYPERLINK("https://twitter.com/ESTEVEZPACO/status/1065870466676649984","1065870466676649984")</f>
        <v>1065870466676649984</v>
      </c>
      <c r="F805" s="11" t="s">
        <v>556</v>
      </c>
      <c r="G805" s="12"/>
      <c r="H805" s="12"/>
      <c r="I805" s="13">
        <v>0</v>
      </c>
      <c r="J805" s="13">
        <v>0</v>
      </c>
      <c r="K805" s="14" t="str">
        <f>HYPERLINK("http://twitter.com/download/android","Twitter for Android")</f>
        <v>Twitter for Android</v>
      </c>
      <c r="L805" s="13">
        <v>1990</v>
      </c>
      <c r="M805" s="13">
        <v>2928</v>
      </c>
      <c r="N805" s="13">
        <v>48</v>
      </c>
      <c r="O805" s="15"/>
      <c r="P805" s="6">
        <v>41041.548958333333</v>
      </c>
      <c r="Q805" s="17" t="s">
        <v>29</v>
      </c>
      <c r="R805" s="18" t="s">
        <v>523</v>
      </c>
      <c r="S805" s="11" t="s">
        <v>524</v>
      </c>
      <c r="T805" s="12"/>
      <c r="U805" s="10" t="str">
        <f>HYPERLINK("https://pbs.twimg.com/profile_images/1061674666341863424/QSLeLU_Z.jpg","View")</f>
        <v>View</v>
      </c>
    </row>
    <row r="806" spans="1:21" ht="20.399999999999999">
      <c r="A806" s="6">
        <v>43427.355092592596</v>
      </c>
      <c r="B806" s="7" t="str">
        <f>HYPERLINK("https://twitter.com/jo_ute","@jo_ute")</f>
        <v>@jo_ute</v>
      </c>
      <c r="C806" s="8" t="s">
        <v>3398</v>
      </c>
      <c r="D806" s="9" t="s">
        <v>1759</v>
      </c>
      <c r="E806" s="10" t="str">
        <f>HYPERLINK("https://twitter.com/jo_ute/status/1065870397932007424","1065870397932007424")</f>
        <v>1065870397932007424</v>
      </c>
      <c r="F806" s="11" t="s">
        <v>2804</v>
      </c>
      <c r="G806" s="12"/>
      <c r="H806" s="12"/>
      <c r="I806" s="13">
        <v>0</v>
      </c>
      <c r="J806" s="13">
        <v>0</v>
      </c>
      <c r="K806" s="14" t="str">
        <f>HYPERLINK("http://twitter.com","Twitter Web Client")</f>
        <v>Twitter Web Client</v>
      </c>
      <c r="L806" s="13">
        <v>474</v>
      </c>
      <c r="M806" s="13">
        <v>3475</v>
      </c>
      <c r="N806" s="13">
        <v>602</v>
      </c>
      <c r="O806" s="15"/>
      <c r="P806" s="6">
        <v>42454.691365740742</v>
      </c>
      <c r="Q806" s="17" t="s">
        <v>3399</v>
      </c>
      <c r="R806" s="18" t="s">
        <v>3400</v>
      </c>
      <c r="S806" s="12"/>
      <c r="T806" s="12"/>
      <c r="U806" s="10" t="str">
        <f>HYPERLINK("https://pbs.twimg.com/profile_images/736356381532512257/2hKJk9rv.jpg","View")</f>
        <v>View</v>
      </c>
    </row>
    <row r="807" spans="1:21" ht="30.6">
      <c r="A807" s="6">
        <v>43427.355081018519</v>
      </c>
      <c r="B807" s="7" t="str">
        <f>HYPERLINK("https://twitter.com/Fenix68530268","@Fenix68530268")</f>
        <v>@Fenix68530268</v>
      </c>
      <c r="C807" s="8" t="s">
        <v>3401</v>
      </c>
      <c r="D807" s="9" t="s">
        <v>3402</v>
      </c>
      <c r="E807" s="10" t="str">
        <f>HYPERLINK("https://twitter.com/Fenix68530268/status/1065870395566370816","1065870395566370816")</f>
        <v>1065870395566370816</v>
      </c>
      <c r="F807" s="12"/>
      <c r="G807" s="12"/>
      <c r="H807" s="12"/>
      <c r="I807" s="13">
        <v>0</v>
      </c>
      <c r="J807" s="13">
        <v>1</v>
      </c>
      <c r="K807" s="14" t="str">
        <f>HYPERLINK("http://twitter.com/download/android","Twitter for Android")</f>
        <v>Twitter for Android</v>
      </c>
      <c r="L807" s="13">
        <v>146</v>
      </c>
      <c r="M807" s="13">
        <v>183</v>
      </c>
      <c r="N807" s="13">
        <v>0</v>
      </c>
      <c r="O807" s="15"/>
      <c r="P807" s="6">
        <v>43410.720358796301</v>
      </c>
      <c r="Q807" s="12"/>
      <c r="R807" s="18" t="s">
        <v>3403</v>
      </c>
      <c r="S807" s="12"/>
      <c r="T807" s="12"/>
      <c r="U807" s="10" t="str">
        <f>HYPERLINK("https://pbs.twimg.com/profile_images/1059842924161196032/txGlLAQ5.jpg","View")</f>
        <v>View</v>
      </c>
    </row>
    <row r="808" spans="1:21" ht="40.799999999999997">
      <c r="A808" s="6">
        <v>43427.354861111111</v>
      </c>
      <c r="B808" s="7" t="str">
        <f>HYPERLINK("https://twitter.com/elnacionalcat_e","@elnacionalcat_e")</f>
        <v>@elnacionalcat_e</v>
      </c>
      <c r="C808" s="8" t="s">
        <v>3404</v>
      </c>
      <c r="D808" s="9" t="s">
        <v>3405</v>
      </c>
      <c r="E808" s="10" t="str">
        <f>HYPERLINK("https://twitter.com/elnacionalcat_e/status/1065870313685176321","1065870313685176321")</f>
        <v>1065870313685176321</v>
      </c>
      <c r="F808" s="11" t="s">
        <v>3406</v>
      </c>
      <c r="G808" s="12"/>
      <c r="H808" s="12"/>
      <c r="I808" s="13">
        <v>1</v>
      </c>
      <c r="J808" s="13">
        <v>0</v>
      </c>
      <c r="K808" s="14" t="str">
        <f t="shared" ref="K808:K809" si="144">HYPERLINK("https://about.twitter.com/products/tweetdeck","TweetDeck")</f>
        <v>TweetDeck</v>
      </c>
      <c r="L808" s="13">
        <v>5489</v>
      </c>
      <c r="M808" s="13">
        <v>355</v>
      </c>
      <c r="N808" s="13">
        <v>167</v>
      </c>
      <c r="O808" s="15"/>
      <c r="P808" s="6">
        <v>42247.840567129635</v>
      </c>
      <c r="Q808" s="17" t="s">
        <v>3407</v>
      </c>
      <c r="R808" s="18" t="s">
        <v>3408</v>
      </c>
      <c r="S808" s="11" t="s">
        <v>3409</v>
      </c>
      <c r="T808" s="12"/>
      <c r="U808" s="10" t="str">
        <f>HYPERLINK("https://pbs.twimg.com/profile_images/646298514385960960/VEutSP7L.png","View")</f>
        <v>View</v>
      </c>
    </row>
    <row r="809" spans="1:21" ht="20.399999999999999">
      <c r="A809" s="6">
        <v>43427.354166666672</v>
      </c>
      <c r="B809" s="7" t="str">
        <f>HYPERLINK("https://twitter.com/periodistadigit","@periodistadigit")</f>
        <v>@periodistadigit</v>
      </c>
      <c r="C809" s="8" t="s">
        <v>599</v>
      </c>
      <c r="D809" s="9" t="s">
        <v>2076</v>
      </c>
      <c r="E809" s="10" t="str">
        <f>HYPERLINK("https://twitter.com/periodistadigit/status/1065870062417006592","1065870062417006592")</f>
        <v>1065870062417006592</v>
      </c>
      <c r="F809" s="11" t="s">
        <v>3410</v>
      </c>
      <c r="G809" s="12"/>
      <c r="H809" s="12"/>
      <c r="I809" s="13">
        <v>4</v>
      </c>
      <c r="J809" s="13">
        <v>0</v>
      </c>
      <c r="K809" s="14" t="str">
        <f t="shared" si="144"/>
        <v>TweetDeck</v>
      </c>
      <c r="L809" s="13">
        <v>56097</v>
      </c>
      <c r="M809" s="13">
        <v>3791</v>
      </c>
      <c r="N809" s="13">
        <v>1469</v>
      </c>
      <c r="O809" s="16" t="s">
        <v>26</v>
      </c>
      <c r="P809" s="6">
        <v>40084.916296296295</v>
      </c>
      <c r="Q809" s="17" t="s">
        <v>72</v>
      </c>
      <c r="R809" s="18" t="s">
        <v>601</v>
      </c>
      <c r="S809" s="11" t="s">
        <v>74</v>
      </c>
      <c r="T809" s="12"/>
      <c r="U809" s="10" t="str">
        <f>HYPERLINK("https://pbs.twimg.com/profile_images/1913331873/periodista-digital.jpg","View")</f>
        <v>View</v>
      </c>
    </row>
    <row r="810" spans="1:21" ht="40.799999999999997">
      <c r="A810" s="6">
        <v>43427.354027777779</v>
      </c>
      <c r="B810" s="7" t="str">
        <f>HYPERLINK("https://twitter.com/puxapali","@puxapali")</f>
        <v>@puxapali</v>
      </c>
      <c r="C810" s="8" t="s">
        <v>3411</v>
      </c>
      <c r="D810" s="9" t="s">
        <v>3412</v>
      </c>
      <c r="E810" s="10" t="str">
        <f>HYPERLINK("https://twitter.com/puxapali/status/1065870010919329792","1065870010919329792")</f>
        <v>1065870010919329792</v>
      </c>
      <c r="F810" s="11" t="s">
        <v>3413</v>
      </c>
      <c r="G810" s="12"/>
      <c r="H810" s="12"/>
      <c r="I810" s="13">
        <v>1</v>
      </c>
      <c r="J810" s="13">
        <v>1</v>
      </c>
      <c r="K810" s="14" t="str">
        <f>HYPERLINK("http://twitter.com","Twitter Web Client")</f>
        <v>Twitter Web Client</v>
      </c>
      <c r="L810" s="13">
        <v>6063</v>
      </c>
      <c r="M810" s="13">
        <v>5668</v>
      </c>
      <c r="N810" s="13">
        <v>249</v>
      </c>
      <c r="O810" s="15"/>
      <c r="P810" s="6">
        <v>40156.983854166669</v>
      </c>
      <c r="Q810" s="17" t="s">
        <v>3414</v>
      </c>
      <c r="R810" s="18" t="s">
        <v>3415</v>
      </c>
      <c r="S810" s="11" t="s">
        <v>3416</v>
      </c>
      <c r="T810" s="12"/>
      <c r="U810" s="10" t="str">
        <f>HYPERLINK("https://pbs.twimg.com/profile_images/610553486942564352/aCPg7kHg.jpg","View")</f>
        <v>View</v>
      </c>
    </row>
    <row r="811" spans="1:21" ht="30.6">
      <c r="A811" s="6">
        <v>43427.353576388894</v>
      </c>
      <c r="B811" s="7" t="str">
        <f>HYPERLINK("https://twitter.com/FeelFre30265794","@FeelFre30265794")</f>
        <v>@FeelFre30265794</v>
      </c>
      <c r="C811" s="8" t="s">
        <v>3417</v>
      </c>
      <c r="D811" s="9" t="s">
        <v>3418</v>
      </c>
      <c r="E811" s="10" t="str">
        <f>HYPERLINK("https://twitter.com/FeelFre30265794/status/1065869850780884992","1065869850780884992")</f>
        <v>1065869850780884992</v>
      </c>
      <c r="F811" s="12"/>
      <c r="G811" s="11" t="s">
        <v>3419</v>
      </c>
      <c r="H811" s="12"/>
      <c r="I811" s="13">
        <v>0</v>
      </c>
      <c r="J811" s="13">
        <v>0</v>
      </c>
      <c r="K811" s="14" t="str">
        <f t="shared" ref="K811:K813" si="145">HYPERLINK("http://twitter.com/download/android","Twitter for Android")</f>
        <v>Twitter for Android</v>
      </c>
      <c r="L811" s="13">
        <v>2258</v>
      </c>
      <c r="M811" s="13">
        <v>1864</v>
      </c>
      <c r="N811" s="13">
        <v>11</v>
      </c>
      <c r="O811" s="15"/>
      <c r="P811" s="6">
        <v>43000.856898148151</v>
      </c>
      <c r="Q811" s="12"/>
      <c r="R811" s="18" t="s">
        <v>3420</v>
      </c>
      <c r="S811" s="12"/>
      <c r="T811" s="12"/>
      <c r="U811" s="10" t="str">
        <f>HYPERLINK("https://pbs.twimg.com/profile_images/967874628118040576/GwuvyVUw.jpg","View")</f>
        <v>View</v>
      </c>
    </row>
    <row r="812" spans="1:21" ht="40.799999999999997">
      <c r="A812" s="6">
        <v>43427.352372685185</v>
      </c>
      <c r="B812" s="7" t="str">
        <f>HYPERLINK("https://twitter.com/menxucp","@menxucp")</f>
        <v>@menxucp</v>
      </c>
      <c r="C812" s="8" t="s">
        <v>3421</v>
      </c>
      <c r="D812" s="9" t="s">
        <v>3422</v>
      </c>
      <c r="E812" s="10" t="str">
        <f>HYPERLINK("https://twitter.com/menxucp/status/1065869413981790208","1065869413981790208")</f>
        <v>1065869413981790208</v>
      </c>
      <c r="F812" s="12"/>
      <c r="G812" s="12"/>
      <c r="H812" s="12"/>
      <c r="I812" s="13">
        <v>4</v>
      </c>
      <c r="J812" s="13">
        <v>5</v>
      </c>
      <c r="K812" s="14" t="str">
        <f t="shared" si="145"/>
        <v>Twitter for Android</v>
      </c>
      <c r="L812" s="13">
        <v>357</v>
      </c>
      <c r="M812" s="13">
        <v>379</v>
      </c>
      <c r="N812" s="13">
        <v>40</v>
      </c>
      <c r="O812" s="15"/>
      <c r="P812" s="6">
        <v>40643.043055555558</v>
      </c>
      <c r="Q812" s="17" t="s">
        <v>3423</v>
      </c>
      <c r="R812" s="18" t="s">
        <v>3424</v>
      </c>
      <c r="S812" s="11" t="s">
        <v>3425</v>
      </c>
      <c r="T812" s="12"/>
      <c r="U812" s="10" t="str">
        <f>HYPERLINK("https://pbs.twimg.com/profile_images/920346853035700224/i17TzZLN.jpg","View")</f>
        <v>View</v>
      </c>
    </row>
    <row r="813" spans="1:21" ht="51">
      <c r="A813" s="6">
        <v>43427.352048611108</v>
      </c>
      <c r="B813" s="7" t="str">
        <f>HYPERLINK("https://twitter.com/TONY260","@TONY260")</f>
        <v>@TONY260</v>
      </c>
      <c r="C813" s="8" t="s">
        <v>3426</v>
      </c>
      <c r="D813" s="9" t="s">
        <v>3427</v>
      </c>
      <c r="E813" s="10" t="str">
        <f>HYPERLINK("https://twitter.com/TONY260/status/1065869295824060418","1065869295824060418")</f>
        <v>1065869295824060418</v>
      </c>
      <c r="F813" s="11" t="s">
        <v>707</v>
      </c>
      <c r="G813" s="12"/>
      <c r="H813" s="12"/>
      <c r="I813" s="13">
        <v>0</v>
      </c>
      <c r="J813" s="13">
        <v>0</v>
      </c>
      <c r="K813" s="14" t="str">
        <f t="shared" si="145"/>
        <v>Twitter for Android</v>
      </c>
      <c r="L813" s="13">
        <v>309</v>
      </c>
      <c r="M813" s="13">
        <v>550</v>
      </c>
      <c r="N813" s="13">
        <v>1</v>
      </c>
      <c r="O813" s="15"/>
      <c r="P813" s="6">
        <v>40084.778078703705</v>
      </c>
      <c r="Q813" s="17" t="s">
        <v>3428</v>
      </c>
      <c r="R813" s="18" t="s">
        <v>3429</v>
      </c>
      <c r="S813" s="12"/>
      <c r="T813" s="12"/>
      <c r="U813" s="10" t="str">
        <f>HYPERLINK("https://pbs.twimg.com/profile_images/869326698298429441/cU6igNB0.jpg","View")</f>
        <v>View</v>
      </c>
    </row>
    <row r="814" spans="1:21" ht="40.799999999999997">
      <c r="A814" s="6">
        <v>43427.352025462962</v>
      </c>
      <c r="B814" s="7" t="str">
        <f>HYPERLINK("https://twitter.com/TheObjective_es","@TheObjective_es")</f>
        <v>@TheObjective_es</v>
      </c>
      <c r="C814" s="8" t="s">
        <v>499</v>
      </c>
      <c r="D814" s="9" t="s">
        <v>3430</v>
      </c>
      <c r="E814" s="10" t="str">
        <f>HYPERLINK("https://twitter.com/TheObjective_es/status/1065869287917871104","1065869287917871104")</f>
        <v>1065869287917871104</v>
      </c>
      <c r="F814" s="11" t="s">
        <v>501</v>
      </c>
      <c r="G814" s="12"/>
      <c r="H814" s="12"/>
      <c r="I814" s="13">
        <v>1</v>
      </c>
      <c r="J814" s="13">
        <v>0</v>
      </c>
      <c r="K814" s="14" t="str">
        <f>HYPERLINK("https://buffer.com","Buffer")</f>
        <v>Buffer</v>
      </c>
      <c r="L814" s="13">
        <v>50591</v>
      </c>
      <c r="M814" s="13">
        <v>709</v>
      </c>
      <c r="N814" s="13">
        <v>1216</v>
      </c>
      <c r="O814" s="15"/>
      <c r="P814" s="6">
        <v>41473.393935185188</v>
      </c>
      <c r="Q814" s="17" t="s">
        <v>436</v>
      </c>
      <c r="R814" s="18" t="s">
        <v>503</v>
      </c>
      <c r="S814" s="11" t="s">
        <v>504</v>
      </c>
      <c r="T814" s="12"/>
      <c r="U814" s="10" t="str">
        <f>HYPERLINK("https://pbs.twimg.com/profile_images/996760534082117632/umqvtWL2.jpg","View")</f>
        <v>View</v>
      </c>
    </row>
    <row r="815" spans="1:21" ht="40.799999999999997">
      <c r="A815" s="6">
        <v>43427.351377314815</v>
      </c>
      <c r="B815" s="7" t="str">
        <f>HYPERLINK("https://twitter.com/MariaRivas551","@MariaRivas551")</f>
        <v>@MariaRivas551</v>
      </c>
      <c r="C815" s="8" t="s">
        <v>3431</v>
      </c>
      <c r="D815" s="9" t="s">
        <v>3432</v>
      </c>
      <c r="E815" s="10" t="str">
        <f>HYPERLINK("https://twitter.com/MariaRivas551/status/1065869049777795072","1065869049777795072")</f>
        <v>1065869049777795072</v>
      </c>
      <c r="F815" s="11" t="s">
        <v>3433</v>
      </c>
      <c r="G815" s="12"/>
      <c r="H815" s="12"/>
      <c r="I815" s="13">
        <v>1</v>
      </c>
      <c r="J815" s="13">
        <v>2</v>
      </c>
      <c r="K815" s="14" t="str">
        <f>HYPERLINK("http://twitter.com/#!/download/ipad","Twitter for iPad")</f>
        <v>Twitter for iPad</v>
      </c>
      <c r="L815" s="13">
        <v>185</v>
      </c>
      <c r="M815" s="13">
        <v>92</v>
      </c>
      <c r="N815" s="13">
        <v>16</v>
      </c>
      <c r="O815" s="15"/>
      <c r="P815" s="6">
        <v>42276.91777777778</v>
      </c>
      <c r="Q815" s="17" t="s">
        <v>3434</v>
      </c>
      <c r="R815" s="18" t="s">
        <v>3435</v>
      </c>
      <c r="S815" s="12"/>
      <c r="T815" s="12"/>
      <c r="U815" s="10" t="str">
        <f>HYPERLINK("https://pbs.twimg.com/profile_images/955871949820973058/v_QmvqOm.jpg","View")</f>
        <v>View</v>
      </c>
    </row>
    <row r="816" spans="1:21" ht="40.799999999999997">
      <c r="A816" s="6">
        <v>43427.351226851853</v>
      </c>
      <c r="B816" s="7" t="str">
        <f>HYPERLINK("https://twitter.com/RaulBator","@RaulBator")</f>
        <v>@RaulBator</v>
      </c>
      <c r="C816" s="8" t="s">
        <v>3436</v>
      </c>
      <c r="D816" s="9" t="s">
        <v>3437</v>
      </c>
      <c r="E816" s="10" t="str">
        <f>HYPERLINK("https://twitter.com/RaulBator/status/1065868996656988165","1065868996656988165")</f>
        <v>1065868996656988165</v>
      </c>
      <c r="F816" s="12"/>
      <c r="G816" s="12"/>
      <c r="H816" s="12"/>
      <c r="I816" s="13">
        <v>0</v>
      </c>
      <c r="J816" s="13">
        <v>0</v>
      </c>
      <c r="K816" s="14" t="str">
        <f>HYPERLINK("http://twitter.com/download/iphone","Twitter for iPhone")</f>
        <v>Twitter for iPhone</v>
      </c>
      <c r="L816" s="13">
        <v>2067</v>
      </c>
      <c r="M816" s="13">
        <v>1122</v>
      </c>
      <c r="N816" s="13">
        <v>6</v>
      </c>
      <c r="O816" s="15"/>
      <c r="P816" s="6">
        <v>42395.336134259254</v>
      </c>
      <c r="Q816" s="17" t="s">
        <v>3438</v>
      </c>
      <c r="R816" s="18" t="s">
        <v>3439</v>
      </c>
      <c r="S816" s="12"/>
      <c r="T816" s="12"/>
      <c r="U816" s="10" t="str">
        <f>HYPERLINK("https://pbs.twimg.com/profile_images/698176238159060992/IzjAQ4LA.jpg","View")</f>
        <v>View</v>
      </c>
    </row>
    <row r="817" spans="1:21" ht="20.399999999999999">
      <c r="A817" s="6">
        <v>43427.349918981483</v>
      </c>
      <c r="B817" s="7" t="str">
        <f>HYPERLINK("https://twitter.com/forococherosano","@forococherosano")</f>
        <v>@forococherosano</v>
      </c>
      <c r="C817" s="8" t="s">
        <v>3440</v>
      </c>
      <c r="D817" s="9" t="s">
        <v>3441</v>
      </c>
      <c r="E817" s="10" t="str">
        <f>HYPERLINK("https://twitter.com/forococherosano/status/1065868525263306752","1065868525263306752")</f>
        <v>1065868525263306752</v>
      </c>
      <c r="F817" s="11" t="s">
        <v>3442</v>
      </c>
      <c r="G817" s="12"/>
      <c r="H817" s="12"/>
      <c r="I817" s="13">
        <v>0</v>
      </c>
      <c r="J817" s="13">
        <v>0</v>
      </c>
      <c r="K817" s="14" t="str">
        <f t="shared" ref="K817:K818" si="146">HYPERLINK("http://twitter.com","Twitter Web Client")</f>
        <v>Twitter Web Client</v>
      </c>
      <c r="L817" s="13">
        <v>11</v>
      </c>
      <c r="M817" s="13">
        <v>31</v>
      </c>
      <c r="N817" s="13">
        <v>0</v>
      </c>
      <c r="O817" s="15"/>
      <c r="P817" s="6">
        <v>42355.664907407408</v>
      </c>
      <c r="Q817" s="12"/>
      <c r="R817" s="19"/>
      <c r="S817" s="12"/>
      <c r="T817" s="12"/>
      <c r="U817" s="10" t="str">
        <f>HYPERLINK("https://pbs.twimg.com/profile_images/973949085861531648/Z56fkBwL.jpg","View")</f>
        <v>View</v>
      </c>
    </row>
    <row r="818" spans="1:21" ht="30.6">
      <c r="A818" s="6">
        <v>43427.349074074074</v>
      </c>
      <c r="B818" s="7" t="str">
        <f>HYPERLINK("https://twitter.com/jcalderero","@jcalderero")</f>
        <v>@jcalderero</v>
      </c>
      <c r="C818" s="8" t="s">
        <v>3443</v>
      </c>
      <c r="D818" s="9" t="s">
        <v>3444</v>
      </c>
      <c r="E818" s="10" t="str">
        <f>HYPERLINK("https://twitter.com/jcalderero/status/1065868216256397312","1065868216256397312")</f>
        <v>1065868216256397312</v>
      </c>
      <c r="F818" s="12"/>
      <c r="G818" s="12"/>
      <c r="H818" s="12"/>
      <c r="I818" s="13">
        <v>0</v>
      </c>
      <c r="J818" s="13">
        <v>0</v>
      </c>
      <c r="K818" s="14" t="str">
        <f t="shared" si="146"/>
        <v>Twitter Web Client</v>
      </c>
      <c r="L818" s="13">
        <v>1993</v>
      </c>
      <c r="M818" s="13">
        <v>1857</v>
      </c>
      <c r="N818" s="13">
        <v>60</v>
      </c>
      <c r="O818" s="15"/>
      <c r="P818" s="6">
        <v>40722.563993055555</v>
      </c>
      <c r="Q818" s="17" t="s">
        <v>72</v>
      </c>
      <c r="R818" s="18" t="s">
        <v>3445</v>
      </c>
      <c r="S818" s="11" t="s">
        <v>3446</v>
      </c>
      <c r="T818" s="12"/>
      <c r="U818" s="10" t="str">
        <f>HYPERLINK("https://pbs.twimg.com/profile_images/684160546434891776/558i6w0O.jpg","View")</f>
        <v>View</v>
      </c>
    </row>
    <row r="819" spans="1:21" ht="30.6">
      <c r="A819" s="6">
        <v>43427.349062499998</v>
      </c>
      <c r="B819" s="7" t="str">
        <f>HYPERLINK("https://twitter.com/quasimito","@quasimito")</f>
        <v>@quasimito</v>
      </c>
      <c r="C819" s="8" t="s">
        <v>3447</v>
      </c>
      <c r="D819" s="9" t="s">
        <v>3448</v>
      </c>
      <c r="E819" s="10" t="str">
        <f>HYPERLINK("https://twitter.com/quasimito/status/1065868211869093890","1065868211869093890")</f>
        <v>1065868211869093890</v>
      </c>
      <c r="F819" s="12"/>
      <c r="G819" s="12"/>
      <c r="H819" s="12"/>
      <c r="I819" s="13">
        <v>0</v>
      </c>
      <c r="J819" s="13">
        <v>1</v>
      </c>
      <c r="K819" s="14" t="str">
        <f t="shared" ref="K819:K823" si="147">HYPERLINK("http://twitter.com/download/android","Twitter for Android")</f>
        <v>Twitter for Android</v>
      </c>
      <c r="L819" s="13">
        <v>1535</v>
      </c>
      <c r="M819" s="13">
        <v>300</v>
      </c>
      <c r="N819" s="13">
        <v>29</v>
      </c>
      <c r="O819" s="15"/>
      <c r="P819" s="6">
        <v>41432.991064814814</v>
      </c>
      <c r="Q819" s="12"/>
      <c r="R819" s="18" t="s">
        <v>3449</v>
      </c>
      <c r="S819" s="12"/>
      <c r="T819" s="12"/>
      <c r="U819" s="10" t="str">
        <f>HYPERLINK("https://pbs.twimg.com/profile_images/1054490909394513920/4rNu_54-.jpg","View")</f>
        <v>View</v>
      </c>
    </row>
    <row r="820" spans="1:21" ht="20.399999999999999">
      <c r="A820" s="6">
        <v>43427.347766203704</v>
      </c>
      <c r="B820" s="7" t="str">
        <f>HYPERLINK("https://twitter.com/pakkam64","@pakkam64")</f>
        <v>@pakkam64</v>
      </c>
      <c r="C820" s="8" t="s">
        <v>3450</v>
      </c>
      <c r="D820" s="9" t="s">
        <v>2981</v>
      </c>
      <c r="E820" s="10" t="str">
        <f>HYPERLINK("https://twitter.com/pakkam64/status/1065867742346207237","1065867742346207237")</f>
        <v>1065867742346207237</v>
      </c>
      <c r="F820" s="11" t="s">
        <v>3451</v>
      </c>
      <c r="G820" s="12"/>
      <c r="H820" s="12"/>
      <c r="I820" s="13">
        <v>0</v>
      </c>
      <c r="J820" s="13">
        <v>0</v>
      </c>
      <c r="K820" s="14" t="str">
        <f t="shared" si="147"/>
        <v>Twitter for Android</v>
      </c>
      <c r="L820" s="13">
        <v>71</v>
      </c>
      <c r="M820" s="13">
        <v>142</v>
      </c>
      <c r="N820" s="13">
        <v>0</v>
      </c>
      <c r="O820" s="15"/>
      <c r="P820" s="6">
        <v>40930.35900462963</v>
      </c>
      <c r="Q820" s="17" t="s">
        <v>810</v>
      </c>
      <c r="R820" s="19"/>
      <c r="S820" s="12"/>
      <c r="T820" s="12"/>
      <c r="U820" s="10" t="str">
        <f>HYPERLINK("https://pbs.twimg.com/profile_images/1053411905640058883/0V9d3xDN.jpg","View")</f>
        <v>View</v>
      </c>
    </row>
    <row r="821" spans="1:21" ht="30.6">
      <c r="A821" s="6">
        <v>43427.347210648149</v>
      </c>
      <c r="B821" s="7" t="str">
        <f>HYPERLINK("https://twitter.com/pallaron12","@pallaron12")</f>
        <v>@pallaron12</v>
      </c>
      <c r="C821" s="8" t="s">
        <v>2284</v>
      </c>
      <c r="D821" s="9" t="s">
        <v>3452</v>
      </c>
      <c r="E821" s="10" t="str">
        <f>HYPERLINK("https://twitter.com/pallaron12/status/1065867539853529088","1065867539853529088")</f>
        <v>1065867539853529088</v>
      </c>
      <c r="F821" s="11" t="s">
        <v>3453</v>
      </c>
      <c r="G821" s="12"/>
      <c r="H821" s="12"/>
      <c r="I821" s="13">
        <v>0</v>
      </c>
      <c r="J821" s="13">
        <v>0</v>
      </c>
      <c r="K821" s="14" t="str">
        <f t="shared" si="147"/>
        <v>Twitter for Android</v>
      </c>
      <c r="L821" s="13">
        <v>1412</v>
      </c>
      <c r="M821" s="13">
        <v>501</v>
      </c>
      <c r="N821" s="13">
        <v>8</v>
      </c>
      <c r="O821" s="15"/>
      <c r="P821" s="6">
        <v>41854.66134259259</v>
      </c>
      <c r="Q821" s="17" t="s">
        <v>2285</v>
      </c>
      <c r="R821" s="18" t="s">
        <v>2286</v>
      </c>
      <c r="S821" s="12"/>
      <c r="T821" s="12"/>
      <c r="U821" s="10" t="str">
        <f>HYPERLINK("https://pbs.twimg.com/profile_images/1064713832633896961/NkwZ7D9D.jpg","View")</f>
        <v>View</v>
      </c>
    </row>
    <row r="822" spans="1:21" ht="30.6">
      <c r="A822" s="6">
        <v>43427.345324074078</v>
      </c>
      <c r="B822" s="7" t="str">
        <f>HYPERLINK("https://twitter.com/DPrietot88","@DPrietot88")</f>
        <v>@DPrietot88</v>
      </c>
      <c r="C822" s="8" t="s">
        <v>3454</v>
      </c>
      <c r="D822" s="9" t="s">
        <v>1330</v>
      </c>
      <c r="E822" s="10" t="str">
        <f>HYPERLINK("https://twitter.com/DPrietot88/status/1065866859059339265","1065866859059339265")</f>
        <v>1065866859059339265</v>
      </c>
      <c r="F822" s="11" t="s">
        <v>1331</v>
      </c>
      <c r="G822" s="12"/>
      <c r="H822" s="12"/>
      <c r="I822" s="13">
        <v>0</v>
      </c>
      <c r="J822" s="13">
        <v>0</v>
      </c>
      <c r="K822" s="14" t="str">
        <f t="shared" si="147"/>
        <v>Twitter for Android</v>
      </c>
      <c r="L822" s="13">
        <v>534</v>
      </c>
      <c r="M822" s="13">
        <v>898</v>
      </c>
      <c r="N822" s="13">
        <v>31</v>
      </c>
      <c r="O822" s="15"/>
      <c r="P822" s="6">
        <v>41068.681504629625</v>
      </c>
      <c r="Q822" s="17" t="s">
        <v>72</v>
      </c>
      <c r="R822" s="18" t="s">
        <v>3455</v>
      </c>
      <c r="S822" s="12"/>
      <c r="T822" s="12"/>
      <c r="U822" s="10" t="str">
        <f>HYPERLINK("https://pbs.twimg.com/profile_images/378800000374051619/60a6116d92782e51f2d889c3cae17d2f.jpeg","View")</f>
        <v>View</v>
      </c>
    </row>
    <row r="823" spans="1:21" ht="20.399999999999999">
      <c r="A823" s="6">
        <v>43427.344884259262</v>
      </c>
      <c r="B823" s="7" t="str">
        <f>HYPERLINK("https://twitter.com/jjmabur","@jjmabur")</f>
        <v>@jjmabur</v>
      </c>
      <c r="C823" s="8" t="s">
        <v>205</v>
      </c>
      <c r="D823" s="9" t="s">
        <v>206</v>
      </c>
      <c r="E823" s="10" t="str">
        <f>HYPERLINK("https://twitter.com/jjmabur/status/1065866699466002433","1065866699466002433")</f>
        <v>1065866699466002433</v>
      </c>
      <c r="F823" s="11" t="s">
        <v>208</v>
      </c>
      <c r="G823" s="11" t="s">
        <v>209</v>
      </c>
      <c r="H823" s="12"/>
      <c r="I823" s="13">
        <v>0</v>
      </c>
      <c r="J823" s="13">
        <v>0</v>
      </c>
      <c r="K823" s="14" t="str">
        <f t="shared" si="147"/>
        <v>Twitter for Android</v>
      </c>
      <c r="L823" s="13">
        <v>6145</v>
      </c>
      <c r="M823" s="13">
        <v>5304</v>
      </c>
      <c r="N823" s="13">
        <v>17</v>
      </c>
      <c r="O823" s="15"/>
      <c r="P823" s="6">
        <v>41336.602708333332</v>
      </c>
      <c r="Q823" s="12"/>
      <c r="R823" s="18" t="s">
        <v>212</v>
      </c>
      <c r="S823" s="12"/>
      <c r="T823" s="12"/>
      <c r="U823" s="10" t="str">
        <f>HYPERLINK("https://pbs.twimg.com/profile_images/684407318092640256/eN20NYLz.jpg","View")</f>
        <v>View</v>
      </c>
    </row>
    <row r="824" spans="1:21" ht="51">
      <c r="A824" s="6">
        <v>43427.34475694444</v>
      </c>
      <c r="B824" s="7" t="str">
        <f>HYPERLINK("https://twitter.com/VidalQuadras","@VidalQuadras")</f>
        <v>@VidalQuadras</v>
      </c>
      <c r="C824" s="8" t="s">
        <v>3456</v>
      </c>
      <c r="D824" s="9" t="s">
        <v>3457</v>
      </c>
      <c r="E824" s="10" t="str">
        <f>HYPERLINK("https://twitter.com/VidalQuadras/status/1065866654041759744","1065866654041759744")</f>
        <v>1065866654041759744</v>
      </c>
      <c r="F824" s="12"/>
      <c r="G824" s="12"/>
      <c r="H824" s="12"/>
      <c r="I824" s="13">
        <v>410</v>
      </c>
      <c r="J824" s="13">
        <v>856</v>
      </c>
      <c r="K824" s="14" t="str">
        <f t="shared" ref="K824:K825" si="148">HYPERLINK("http://twitter.com/download/iphone","Twitter for iPhone")</f>
        <v>Twitter for iPhone</v>
      </c>
      <c r="L824" s="13">
        <v>65846</v>
      </c>
      <c r="M824" s="13">
        <v>731</v>
      </c>
      <c r="N824" s="13">
        <v>626</v>
      </c>
      <c r="O824" s="15"/>
      <c r="P824" s="6">
        <v>40372.48709490741</v>
      </c>
      <c r="Q824" s="17" t="s">
        <v>27</v>
      </c>
      <c r="R824" s="18" t="s">
        <v>3458</v>
      </c>
      <c r="S824" s="12"/>
      <c r="T824" s="12"/>
      <c r="U824" s="10" t="str">
        <f>HYPERLINK("https://pbs.twimg.com/profile_images/456353136148377601/j9IsCOnt.jpeg","View")</f>
        <v>View</v>
      </c>
    </row>
    <row r="825" spans="1:21" ht="30.6">
      <c r="A825" s="6">
        <v>43427.344641203701</v>
      </c>
      <c r="B825" s="7" t="str">
        <f>HYPERLINK("https://twitter.com/lazebonz","@lazebonz")</f>
        <v>@lazebonz</v>
      </c>
      <c r="C825" s="8" t="s">
        <v>3459</v>
      </c>
      <c r="D825" s="9" t="s">
        <v>3460</v>
      </c>
      <c r="E825" s="10" t="str">
        <f>HYPERLINK("https://twitter.com/lazebonz/status/1065866609833754625","1065866609833754625")</f>
        <v>1065866609833754625</v>
      </c>
      <c r="F825" s="12"/>
      <c r="G825" s="12"/>
      <c r="H825" s="12"/>
      <c r="I825" s="13">
        <v>0</v>
      </c>
      <c r="J825" s="13">
        <v>1</v>
      </c>
      <c r="K825" s="14" t="str">
        <f t="shared" si="148"/>
        <v>Twitter for iPhone</v>
      </c>
      <c r="L825" s="13">
        <v>49</v>
      </c>
      <c r="M825" s="13">
        <v>163</v>
      </c>
      <c r="N825" s="13">
        <v>0</v>
      </c>
      <c r="O825" s="15"/>
      <c r="P825" s="6">
        <v>42582.46429398148</v>
      </c>
      <c r="Q825" s="17" t="s">
        <v>3461</v>
      </c>
      <c r="R825" s="18" t="s">
        <v>3462</v>
      </c>
      <c r="S825" s="12"/>
      <c r="T825" s="12"/>
      <c r="U825" s="10" t="str">
        <f>HYPERLINK("https://pbs.twimg.com/profile_images/1013038172685721601/Q6fbtyAi.jpg","View")</f>
        <v>View</v>
      </c>
    </row>
    <row r="826" spans="1:21" ht="20.399999999999999">
      <c r="A826" s="6">
        <v>43427.344317129631</v>
      </c>
      <c r="B826" s="7" t="str">
        <f>HYPERLINK("https://twitter.com/flikxxi","@flikxxi")</f>
        <v>@flikxxi</v>
      </c>
      <c r="C826" s="8" t="s">
        <v>3463</v>
      </c>
      <c r="D826" s="9" t="s">
        <v>3464</v>
      </c>
      <c r="E826" s="10" t="str">
        <f>HYPERLINK("https://twitter.com/flikxxi/status/1065866493504688129","1065866493504688129")</f>
        <v>1065866493504688129</v>
      </c>
      <c r="F826" s="17" t="s">
        <v>3465</v>
      </c>
      <c r="G826" s="12"/>
      <c r="H826" s="12"/>
      <c r="I826" s="13">
        <v>0</v>
      </c>
      <c r="J826" s="13">
        <v>0</v>
      </c>
      <c r="K826" s="14" t="str">
        <f>HYPERLINK("http://www.redninjastudio.com","Talk Text")</f>
        <v>Talk Text</v>
      </c>
      <c r="L826" s="13">
        <v>170</v>
      </c>
      <c r="M826" s="13">
        <v>120</v>
      </c>
      <c r="N826" s="13">
        <v>45</v>
      </c>
      <c r="O826" s="15"/>
      <c r="P826" s="6">
        <v>39784.98715277778</v>
      </c>
      <c r="Q826" s="17" t="s">
        <v>3466</v>
      </c>
      <c r="R826" s="18" t="s">
        <v>3467</v>
      </c>
      <c r="S826" s="11" t="s">
        <v>3468</v>
      </c>
      <c r="T826" s="12"/>
      <c r="U826" s="10" t="str">
        <f>HYPERLINK("https://pbs.twimg.com/profile_images/673435094707789824/iUzS1Xq0.png","View")</f>
        <v>View</v>
      </c>
    </row>
    <row r="827" spans="1:21" ht="30.6">
      <c r="A827" s="6">
        <v>43427.34412037037</v>
      </c>
      <c r="B827" s="7" t="str">
        <f>HYPERLINK("https://twitter.com/pallaron12","@pallaron12")</f>
        <v>@pallaron12</v>
      </c>
      <c r="C827" s="8" t="s">
        <v>2284</v>
      </c>
      <c r="D827" s="9" t="s">
        <v>3469</v>
      </c>
      <c r="E827" s="10" t="str">
        <f>HYPERLINK("https://twitter.com/pallaron12/status/1065866422893592577","1065866422893592577")</f>
        <v>1065866422893592577</v>
      </c>
      <c r="F827" s="11" t="s">
        <v>3470</v>
      </c>
      <c r="G827" s="12"/>
      <c r="H827" s="12"/>
      <c r="I827" s="13">
        <v>3</v>
      </c>
      <c r="J827" s="13">
        <v>1</v>
      </c>
      <c r="K827" s="14" t="str">
        <f t="shared" ref="K827:K828" si="149">HYPERLINK("http://twitter.com/download/android","Twitter for Android")</f>
        <v>Twitter for Android</v>
      </c>
      <c r="L827" s="13">
        <v>1412</v>
      </c>
      <c r="M827" s="13">
        <v>501</v>
      </c>
      <c r="N827" s="13">
        <v>8</v>
      </c>
      <c r="O827" s="15"/>
      <c r="P827" s="6">
        <v>41854.66134259259</v>
      </c>
      <c r="Q827" s="17" t="s">
        <v>2285</v>
      </c>
      <c r="R827" s="18" t="s">
        <v>2286</v>
      </c>
      <c r="S827" s="12"/>
      <c r="T827" s="12"/>
      <c r="U827" s="10" t="str">
        <f>HYPERLINK("https://pbs.twimg.com/profile_images/1064713832633896961/NkwZ7D9D.jpg","View")</f>
        <v>View</v>
      </c>
    </row>
    <row r="828" spans="1:21" ht="20.399999999999999">
      <c r="A828" s="6">
        <v>43427.3440625</v>
      </c>
      <c r="B828" s="7" t="str">
        <f>HYPERLINK("https://twitter.com/kayak_twit","@kayak_twit")</f>
        <v>@kayak_twit</v>
      </c>
      <c r="C828" s="8" t="s">
        <v>3471</v>
      </c>
      <c r="D828" s="9" t="s">
        <v>3472</v>
      </c>
      <c r="E828" s="10" t="str">
        <f>HYPERLINK("https://twitter.com/kayak_twit/status/1065866402387673088","1065866402387673088")</f>
        <v>1065866402387673088</v>
      </c>
      <c r="F828" s="11" t="s">
        <v>3473</v>
      </c>
      <c r="G828" s="12"/>
      <c r="H828" s="12"/>
      <c r="I828" s="13">
        <v>0</v>
      </c>
      <c r="J828" s="13">
        <v>0</v>
      </c>
      <c r="K828" s="14" t="str">
        <f t="shared" si="149"/>
        <v>Twitter for Android</v>
      </c>
      <c r="L828" s="13">
        <v>2427</v>
      </c>
      <c r="M828" s="13">
        <v>2338</v>
      </c>
      <c r="N828" s="13">
        <v>42</v>
      </c>
      <c r="O828" s="15"/>
      <c r="P828" s="6">
        <v>40583.06113425926</v>
      </c>
      <c r="Q828" s="17" t="s">
        <v>3474</v>
      </c>
      <c r="R828" s="18" t="s">
        <v>3475</v>
      </c>
      <c r="S828" s="12"/>
      <c r="T828" s="12"/>
      <c r="U828" s="10" t="str">
        <f>HYPERLINK("https://pbs.twimg.com/profile_images/378800000146370498/60af539dd94a6b23ab48b4db34ae602d.jpeg","View")</f>
        <v>View</v>
      </c>
    </row>
    <row r="829" spans="1:21" ht="20.399999999999999">
      <c r="A829" s="6">
        <v>43427.342893518522</v>
      </c>
      <c r="B829" s="7" t="str">
        <f>HYPERLINK("https://twitter.com/nachocardero","@nachocardero")</f>
        <v>@nachocardero</v>
      </c>
      <c r="C829" s="8" t="s">
        <v>3476</v>
      </c>
      <c r="D829" s="9" t="s">
        <v>3477</v>
      </c>
      <c r="E829" s="10" t="str">
        <f>HYPERLINK("https://twitter.com/nachocardero/status/1065865976460308480","1065865976460308480")</f>
        <v>1065865976460308480</v>
      </c>
      <c r="F829" s="11" t="s">
        <v>87</v>
      </c>
      <c r="G829" s="12"/>
      <c r="H829" s="12"/>
      <c r="I829" s="13">
        <v>0</v>
      </c>
      <c r="J829" s="13">
        <v>0</v>
      </c>
      <c r="K829" s="14" t="str">
        <f>HYPERLINK("http://twitter.com","Twitter Web Client")</f>
        <v>Twitter Web Client</v>
      </c>
      <c r="L829" s="13">
        <v>6226</v>
      </c>
      <c r="M829" s="13">
        <v>813</v>
      </c>
      <c r="N829" s="13">
        <v>248</v>
      </c>
      <c r="O829" s="15"/>
      <c r="P829" s="6">
        <v>40122.806307870371</v>
      </c>
      <c r="Q829" s="12"/>
      <c r="R829" s="18" t="s">
        <v>3478</v>
      </c>
      <c r="S829" s="11" t="s">
        <v>3479</v>
      </c>
      <c r="T829" s="12"/>
      <c r="U829" s="10" t="str">
        <f>HYPERLINK("https://pbs.twimg.com/profile_images/2698108319/53d41e25426f1f5bd5b31347c4d4b84c.jpeg","View")</f>
        <v>View</v>
      </c>
    </row>
    <row r="830" spans="1:21" ht="20.399999999999999">
      <c r="A830" s="6">
        <v>43427.342361111107</v>
      </c>
      <c r="B830" s="7" t="str">
        <f>HYPERLINK("https://twitter.com/LuisLuloal","@LuisLuloal")</f>
        <v>@LuisLuloal</v>
      </c>
      <c r="C830" s="8" t="s">
        <v>3480</v>
      </c>
      <c r="D830" s="9" t="s">
        <v>3481</v>
      </c>
      <c r="E830" s="10" t="str">
        <f>HYPERLINK("https://twitter.com/LuisLuloal/status/1065865784189165573","1065865784189165573")</f>
        <v>1065865784189165573</v>
      </c>
      <c r="F830" s="12"/>
      <c r="G830" s="12"/>
      <c r="H830" s="12"/>
      <c r="I830" s="13">
        <v>0</v>
      </c>
      <c r="J830" s="13">
        <v>0</v>
      </c>
      <c r="K830" s="14" t="str">
        <f t="shared" ref="K830:K831" si="150">HYPERLINK("http://twitter.com/download/android","Twitter for Android")</f>
        <v>Twitter for Android</v>
      </c>
      <c r="L830" s="13">
        <v>76</v>
      </c>
      <c r="M830" s="13">
        <v>199</v>
      </c>
      <c r="N830" s="13">
        <v>1</v>
      </c>
      <c r="O830" s="15"/>
      <c r="P830" s="6">
        <v>41280.962557870371</v>
      </c>
      <c r="Q830" s="12"/>
      <c r="R830" s="19"/>
      <c r="S830" s="12"/>
      <c r="T830" s="12"/>
      <c r="U830" s="10" t="str">
        <f>HYPERLINK("https://pbs.twimg.com/profile_images/1064562298449248259/Uu16-yK0.jpg","View")</f>
        <v>View</v>
      </c>
    </row>
    <row r="831" spans="1:21" ht="40.799999999999997">
      <c r="A831" s="6">
        <v>43427.341932870375</v>
      </c>
      <c r="B831" s="7" t="str">
        <f>HYPERLINK("https://twitter.com/DaniArjo","@DaniArjo")</f>
        <v>@DaniArjo</v>
      </c>
      <c r="C831" s="8" t="s">
        <v>3482</v>
      </c>
      <c r="D831" s="9" t="s">
        <v>3483</v>
      </c>
      <c r="E831" s="10" t="str">
        <f>HYPERLINK("https://twitter.com/DaniArjo/status/1065865631130624000","1065865631130624000")</f>
        <v>1065865631130624000</v>
      </c>
      <c r="F831" s="12"/>
      <c r="G831" s="12"/>
      <c r="H831" s="12"/>
      <c r="I831" s="13">
        <v>0</v>
      </c>
      <c r="J831" s="13">
        <v>2</v>
      </c>
      <c r="K831" s="14" t="str">
        <f t="shared" si="150"/>
        <v>Twitter for Android</v>
      </c>
      <c r="L831" s="13">
        <v>5910</v>
      </c>
      <c r="M831" s="13">
        <v>999</v>
      </c>
      <c r="N831" s="13">
        <v>232</v>
      </c>
      <c r="O831" s="15"/>
      <c r="P831" s="6">
        <v>39852.872060185182</v>
      </c>
      <c r="Q831" s="17" t="s">
        <v>72</v>
      </c>
      <c r="R831" s="18" t="s">
        <v>3484</v>
      </c>
      <c r="S831" s="11" t="s">
        <v>3485</v>
      </c>
      <c r="T831" s="12"/>
      <c r="U831" s="10" t="str">
        <f>HYPERLINK("https://pbs.twimg.com/profile_images/809744577905250304/3QKl3Dsi.jpg","View")</f>
        <v>View</v>
      </c>
    </row>
    <row r="832" spans="1:21" ht="30.6">
      <c r="A832" s="6">
        <v>43427.341354166667</v>
      </c>
      <c r="B832" s="7" t="str">
        <f>HYPERLINK("https://twitter.com/ldpsincomplejos","@ldpsincomplejos")</f>
        <v>@ldpsincomplejos</v>
      </c>
      <c r="C832" s="8" t="s">
        <v>3486</v>
      </c>
      <c r="D832" s="9" t="s">
        <v>3487</v>
      </c>
      <c r="E832" s="10" t="str">
        <f>HYPERLINK("https://twitter.com/ldpsincomplejos/status/1065865420102647810","1065865420102647810")</f>
        <v>1065865420102647810</v>
      </c>
      <c r="F832" s="11" t="s">
        <v>1210</v>
      </c>
      <c r="G832" s="12"/>
      <c r="H832" s="12"/>
      <c r="I832" s="13">
        <v>308</v>
      </c>
      <c r="J832" s="13">
        <v>237</v>
      </c>
      <c r="K832" s="14" t="str">
        <f>HYPERLINK("http://twitter.com","Twitter Web Client")</f>
        <v>Twitter Web Client</v>
      </c>
      <c r="L832" s="13">
        <v>108177</v>
      </c>
      <c r="M832" s="13">
        <v>2604</v>
      </c>
      <c r="N832" s="13">
        <v>1072</v>
      </c>
      <c r="O832" s="16" t="s">
        <v>26</v>
      </c>
      <c r="P832" s="6">
        <v>40566.777245370373</v>
      </c>
      <c r="Q832" s="17" t="s">
        <v>72</v>
      </c>
      <c r="R832" s="18" t="s">
        <v>3488</v>
      </c>
      <c r="S832" s="11" t="s">
        <v>3489</v>
      </c>
      <c r="T832" s="12"/>
      <c r="U832" s="10" t="str">
        <f>HYPERLINK("https://pbs.twimg.com/profile_images/1007677959245828097/i-2yAFvg.jpg","View")</f>
        <v>View</v>
      </c>
    </row>
    <row r="833" spans="1:21" ht="51">
      <c r="A833" s="6">
        <v>43427.340995370367</v>
      </c>
      <c r="B833" s="7" t="str">
        <f>HYPERLINK("https://twitter.com/EsDeCuates","@EsDeCuates")</f>
        <v>@EsDeCuates</v>
      </c>
      <c r="C833" s="8" t="s">
        <v>3490</v>
      </c>
      <c r="D833" s="9" t="s">
        <v>3133</v>
      </c>
      <c r="E833" s="10" t="str">
        <f>HYPERLINK("https://twitter.com/EsDeCuates/status/1065865287516545024","1065865287516545024")</f>
        <v>1065865287516545024</v>
      </c>
      <c r="F833" s="11" t="s">
        <v>3134</v>
      </c>
      <c r="G833" s="12"/>
      <c r="H833" s="12"/>
      <c r="I833" s="13">
        <v>0</v>
      </c>
      <c r="J833" s="13">
        <v>0</v>
      </c>
      <c r="K833" s="14" t="str">
        <f t="shared" ref="K833:K836" si="151">HYPERLINK("http://twitter.com/download/android","Twitter for Android")</f>
        <v>Twitter for Android</v>
      </c>
      <c r="L833" s="13">
        <v>1949</v>
      </c>
      <c r="M833" s="13">
        <v>1640</v>
      </c>
      <c r="N833" s="13">
        <v>6</v>
      </c>
      <c r="O833" s="15"/>
      <c r="P833" s="6">
        <v>42410.012546296297</v>
      </c>
      <c r="Q833" s="17" t="s">
        <v>3491</v>
      </c>
      <c r="R833" s="18" t="s">
        <v>3492</v>
      </c>
      <c r="S833" s="11" t="s">
        <v>3493</v>
      </c>
      <c r="T833" s="12"/>
      <c r="U833" s="10" t="str">
        <f>HYPERLINK("https://pbs.twimg.com/profile_images/900266097101987840/NkWkuzN5.jpg","View")</f>
        <v>View</v>
      </c>
    </row>
    <row r="834" spans="1:21" ht="30.6">
      <c r="A834" s="6">
        <v>43427.340520833328</v>
      </c>
      <c r="B834" s="7" t="str">
        <f>HYPERLINK("https://twitter.com/pallaron12","@pallaron12")</f>
        <v>@pallaron12</v>
      </c>
      <c r="C834" s="8" t="s">
        <v>2284</v>
      </c>
      <c r="D834" s="9" t="s">
        <v>53</v>
      </c>
      <c r="E834" s="10" t="str">
        <f>HYPERLINK("https://twitter.com/pallaron12/status/1065865118020444160","1065865118020444160")</f>
        <v>1065865118020444160</v>
      </c>
      <c r="F834" s="11" t="s">
        <v>54</v>
      </c>
      <c r="G834" s="12"/>
      <c r="H834" s="12"/>
      <c r="I834" s="13">
        <v>0</v>
      </c>
      <c r="J834" s="13">
        <v>0</v>
      </c>
      <c r="K834" s="14" t="str">
        <f t="shared" si="151"/>
        <v>Twitter for Android</v>
      </c>
      <c r="L834" s="13">
        <v>1412</v>
      </c>
      <c r="M834" s="13">
        <v>501</v>
      </c>
      <c r="N834" s="13">
        <v>8</v>
      </c>
      <c r="O834" s="15"/>
      <c r="P834" s="6">
        <v>41854.66134259259</v>
      </c>
      <c r="Q834" s="17" t="s">
        <v>2285</v>
      </c>
      <c r="R834" s="18" t="s">
        <v>2286</v>
      </c>
      <c r="S834" s="12"/>
      <c r="T834" s="12"/>
      <c r="U834" s="10" t="str">
        <f>HYPERLINK("https://pbs.twimg.com/profile_images/1064713832633896961/NkwZ7D9D.jpg","View")</f>
        <v>View</v>
      </c>
    </row>
    <row r="835" spans="1:21" ht="40.799999999999997">
      <c r="A835" s="6">
        <v>43427.340451388889</v>
      </c>
      <c r="B835" s="7" t="str">
        <f>HYPERLINK("https://twitter.com/antoniosaez_","@antoniosaez_")</f>
        <v>@antoniosaez_</v>
      </c>
      <c r="C835" s="8" t="s">
        <v>3494</v>
      </c>
      <c r="D835" s="9" t="s">
        <v>3495</v>
      </c>
      <c r="E835" s="10" t="str">
        <f>HYPERLINK("https://twitter.com/antoniosaez_/status/1065865090363244546","1065865090363244546")</f>
        <v>1065865090363244546</v>
      </c>
      <c r="F835" s="11" t="s">
        <v>3496</v>
      </c>
      <c r="G835" s="12"/>
      <c r="H835" s="12"/>
      <c r="I835" s="13">
        <v>0</v>
      </c>
      <c r="J835" s="13">
        <v>0</v>
      </c>
      <c r="K835" s="14" t="str">
        <f t="shared" si="151"/>
        <v>Twitter for Android</v>
      </c>
      <c r="L835" s="13">
        <v>2202</v>
      </c>
      <c r="M835" s="13">
        <v>1848</v>
      </c>
      <c r="N835" s="13">
        <v>87</v>
      </c>
      <c r="O835" s="15"/>
      <c r="P835" s="6">
        <v>40430.758634259255</v>
      </c>
      <c r="Q835" s="12"/>
      <c r="R835" s="18" t="s">
        <v>3497</v>
      </c>
      <c r="S835" s="11" t="s">
        <v>3498</v>
      </c>
      <c r="T835" s="12"/>
      <c r="U835" s="10" t="str">
        <f>HYPERLINK("https://pbs.twimg.com/profile_images/923487391419166721/Q1WejwM2.jpg","View")</f>
        <v>View</v>
      </c>
    </row>
    <row r="836" spans="1:21" ht="30.6">
      <c r="A836" s="6">
        <v>43427.339629629627</v>
      </c>
      <c r="B836" s="7" t="str">
        <f>HYPERLINK("https://twitter.com/trajano313","@trajano313")</f>
        <v>@trajano313</v>
      </c>
      <c r="C836" s="8" t="s">
        <v>322</v>
      </c>
      <c r="D836" s="9" t="s">
        <v>3499</v>
      </c>
      <c r="E836" s="10" t="str">
        <f>HYPERLINK("https://twitter.com/trajano313/status/1065864793846939648","1065864793846939648")</f>
        <v>1065864793846939648</v>
      </c>
      <c r="F836" s="17" t="s">
        <v>3500</v>
      </c>
      <c r="G836" s="12"/>
      <c r="H836" s="12"/>
      <c r="I836" s="13">
        <v>0</v>
      </c>
      <c r="J836" s="13">
        <v>0</v>
      </c>
      <c r="K836" s="14" t="str">
        <f t="shared" si="151"/>
        <v>Twitter for Android</v>
      </c>
      <c r="L836" s="13">
        <v>2429</v>
      </c>
      <c r="M836" s="13">
        <v>2358</v>
      </c>
      <c r="N836" s="13">
        <v>25</v>
      </c>
      <c r="O836" s="15"/>
      <c r="P836" s="6">
        <v>40451.624675925923</v>
      </c>
      <c r="Q836" s="12"/>
      <c r="R836" s="19"/>
      <c r="S836" s="12"/>
      <c r="T836" s="12"/>
      <c r="U836" s="10" t="str">
        <f>HYPERLINK("https://pbs.twimg.com/profile_images/912359275351220225/pFHb_ecp.jpg","View")</f>
        <v>View</v>
      </c>
    </row>
    <row r="837" spans="1:21" ht="51">
      <c r="A837" s="6">
        <v>43427.339467592596</v>
      </c>
      <c r="B837" s="7" t="str">
        <f>HYPERLINK("https://twitter.com/el_pais","@el_pais")</f>
        <v>@el_pais</v>
      </c>
      <c r="C837" s="8" t="s">
        <v>3501</v>
      </c>
      <c r="D837" s="9" t="s">
        <v>3133</v>
      </c>
      <c r="E837" s="10" t="str">
        <f>HYPERLINK("https://twitter.com/el_pais/status/1065864734119993344","1065864734119993344")</f>
        <v>1065864734119993344</v>
      </c>
      <c r="F837" s="11" t="s">
        <v>3134</v>
      </c>
      <c r="G837" s="12"/>
      <c r="H837" s="12"/>
      <c r="I837" s="13">
        <v>13</v>
      </c>
      <c r="J837" s="13">
        <v>15</v>
      </c>
      <c r="K837" s="14" t="str">
        <f>HYPERLINK("http://twitter.com","Twitter Web Client")</f>
        <v>Twitter Web Client</v>
      </c>
      <c r="L837" s="13">
        <v>6718585</v>
      </c>
      <c r="M837" s="13">
        <v>777</v>
      </c>
      <c r="N837" s="13">
        <v>55940</v>
      </c>
      <c r="O837" s="16" t="s">
        <v>26</v>
      </c>
      <c r="P837" s="6">
        <v>39300.76399305556</v>
      </c>
      <c r="Q837" s="17" t="s">
        <v>72</v>
      </c>
      <c r="R837" s="18" t="s">
        <v>3502</v>
      </c>
      <c r="S837" s="11" t="s">
        <v>3503</v>
      </c>
      <c r="T837" s="12"/>
      <c r="U837" s="10" t="str">
        <f>HYPERLINK("https://pbs.twimg.com/profile_images/815456059322036224/o_RQNEOh.jpg","View")</f>
        <v>View</v>
      </c>
    </row>
    <row r="838" spans="1:21" ht="20.399999999999999">
      <c r="A838" s="6">
        <v>43427.338182870371</v>
      </c>
      <c r="B838" s="7" t="str">
        <f>HYPERLINK("https://twitter.com/moiogando","@moiogando")</f>
        <v>@moiogando</v>
      </c>
      <c r="C838" s="8" t="s">
        <v>3504</v>
      </c>
      <c r="D838" s="9" t="s">
        <v>3505</v>
      </c>
      <c r="E838" s="10" t="str">
        <f>HYPERLINK("https://twitter.com/moiogando/status/1065864272352346112","1065864272352346112")</f>
        <v>1065864272352346112</v>
      </c>
      <c r="F838" s="11" t="s">
        <v>3506</v>
      </c>
      <c r="G838" s="12"/>
      <c r="H838" s="12"/>
      <c r="I838" s="13">
        <v>0</v>
      </c>
      <c r="J838" s="13">
        <v>0</v>
      </c>
      <c r="K838" s="14" t="str">
        <f>HYPERLINK("http://twitter.com/download/android","Twitter for Android")</f>
        <v>Twitter for Android</v>
      </c>
      <c r="L838" s="13">
        <v>64</v>
      </c>
      <c r="M838" s="13">
        <v>80</v>
      </c>
      <c r="N838" s="13">
        <v>0</v>
      </c>
      <c r="O838" s="15"/>
      <c r="P838" s="6">
        <v>39942.485532407409</v>
      </c>
      <c r="Q838" s="17" t="s">
        <v>28</v>
      </c>
      <c r="R838" s="18" t="s">
        <v>3508</v>
      </c>
      <c r="S838" s="12"/>
      <c r="T838" s="12"/>
      <c r="U838" s="10" t="str">
        <f>HYPERLINK("https://pbs.twimg.com/profile_images/1034067987152691202/WZYJqSP9.jpg","View")</f>
        <v>View</v>
      </c>
    </row>
    <row r="839" spans="1:21" ht="20.399999999999999">
      <c r="A839" s="6">
        <v>43427.338148148148</v>
      </c>
      <c r="B839" s="7" t="str">
        <f>HYPERLINK("https://twitter.com/vikuku","@vikuku")</f>
        <v>@vikuku</v>
      </c>
      <c r="C839" s="8" t="s">
        <v>3509</v>
      </c>
      <c r="D839" s="9" t="s">
        <v>3510</v>
      </c>
      <c r="E839" s="10" t="str">
        <f>HYPERLINK("https://twitter.com/vikuku/status/1065864257009524742","1065864257009524742")</f>
        <v>1065864257009524742</v>
      </c>
      <c r="F839" s="11" t="s">
        <v>1841</v>
      </c>
      <c r="G839" s="12"/>
      <c r="H839" s="12"/>
      <c r="I839" s="13">
        <v>0</v>
      </c>
      <c r="J839" s="13">
        <v>0</v>
      </c>
      <c r="K839" s="14" t="str">
        <f t="shared" ref="K839:K840" si="152">HYPERLINK("http://twitter.com","Twitter Web Client")</f>
        <v>Twitter Web Client</v>
      </c>
      <c r="L839" s="13">
        <v>476</v>
      </c>
      <c r="M839" s="13">
        <v>2098</v>
      </c>
      <c r="N839" s="13">
        <v>15</v>
      </c>
      <c r="O839" s="15"/>
      <c r="P839" s="6">
        <v>40068.45521990741</v>
      </c>
      <c r="Q839" s="12"/>
      <c r="R839" s="18" t="s">
        <v>3511</v>
      </c>
      <c r="S839" s="12"/>
      <c r="T839" s="12"/>
      <c r="U839" s="10" t="str">
        <f>HYPERLINK("https://pbs.twimg.com/profile_images/1857638127/2031519.jpg","View")</f>
        <v>View</v>
      </c>
    </row>
    <row r="840" spans="1:21" ht="20.399999999999999">
      <c r="A840" s="6">
        <v>43427.338124999995</v>
      </c>
      <c r="B840" s="7" t="str">
        <f>HYPERLINK("https://twitter.com/Gadabarthes","@Gadabarthes")</f>
        <v>@Gadabarthes</v>
      </c>
      <c r="C840" s="8" t="s">
        <v>3512</v>
      </c>
      <c r="D840" s="9" t="s">
        <v>2485</v>
      </c>
      <c r="E840" s="10" t="str">
        <f>HYPERLINK("https://twitter.com/Gadabarthes/status/1065864250814595072","1065864250814595072")</f>
        <v>1065864250814595072</v>
      </c>
      <c r="F840" s="11" t="s">
        <v>2486</v>
      </c>
      <c r="G840" s="12"/>
      <c r="H840" s="12"/>
      <c r="I840" s="13">
        <v>0</v>
      </c>
      <c r="J840" s="13">
        <v>0</v>
      </c>
      <c r="K840" s="14" t="str">
        <f t="shared" si="152"/>
        <v>Twitter Web Client</v>
      </c>
      <c r="L840" s="13">
        <v>10474</v>
      </c>
      <c r="M840" s="13">
        <v>9321</v>
      </c>
      <c r="N840" s="13">
        <v>109</v>
      </c>
      <c r="O840" s="15"/>
      <c r="P840" s="6">
        <v>40683.347395833334</v>
      </c>
      <c r="Q840" s="17" t="s">
        <v>3513</v>
      </c>
      <c r="R840" s="19"/>
      <c r="S840" s="12"/>
      <c r="T840" s="12"/>
      <c r="U840" s="10" t="str">
        <f>HYPERLINK("https://pbs.twimg.com/profile_images/3596394510/7b09ba6b50493db37e7255c914087a2c.jpeg","View")</f>
        <v>View</v>
      </c>
    </row>
    <row r="841" spans="1:21" ht="40.799999999999997">
      <c r="A841" s="6">
        <v>43427.337962962964</v>
      </c>
      <c r="B841" s="7" t="str">
        <f>HYPERLINK("https://twitter.com/MonarquiaEspana","@MonarquiaEspana")</f>
        <v>@MonarquiaEspana</v>
      </c>
      <c r="C841" s="8" t="s">
        <v>2385</v>
      </c>
      <c r="D841" s="9" t="s">
        <v>3514</v>
      </c>
      <c r="E841" s="10" t="str">
        <f>HYPERLINK("https://twitter.com/MonarquiaEspana/status/1065864188801810432","1065864188801810432")</f>
        <v>1065864188801810432</v>
      </c>
      <c r="F841" s="11" t="s">
        <v>2387</v>
      </c>
      <c r="G841" s="12"/>
      <c r="H841" s="12"/>
      <c r="I841" s="13">
        <v>1</v>
      </c>
      <c r="J841" s="13">
        <v>1</v>
      </c>
      <c r="K841" s="14" t="str">
        <f>HYPERLINK("http://www.hootsuite.com","Hootsuite")</f>
        <v>Hootsuite</v>
      </c>
      <c r="L841" s="13">
        <v>8346</v>
      </c>
      <c r="M841" s="13">
        <v>2944</v>
      </c>
      <c r="N841" s="13">
        <v>80</v>
      </c>
      <c r="O841" s="15"/>
      <c r="P841" s="6">
        <v>40924.372881944444</v>
      </c>
      <c r="Q841" s="17" t="s">
        <v>2391</v>
      </c>
      <c r="R841" s="18" t="s">
        <v>2392</v>
      </c>
      <c r="S841" s="11" t="s">
        <v>2393</v>
      </c>
      <c r="T841" s="12"/>
      <c r="U841" s="10" t="str">
        <f>HYPERLINK("https://pbs.twimg.com/profile_images/1053566206538584066/RJC--NHN.jpg","View")</f>
        <v>View</v>
      </c>
    </row>
    <row r="842" spans="1:21" ht="40.799999999999997">
      <c r="A842" s="6">
        <v>43427.337881944448</v>
      </c>
      <c r="B842" s="7" t="str">
        <f>HYPERLINK("https://twitter.com/NemesisSXX","@NemesisSXX")</f>
        <v>@NemesisSXX</v>
      </c>
      <c r="C842" s="8" t="s">
        <v>586</v>
      </c>
      <c r="D842" s="9" t="s">
        <v>1596</v>
      </c>
      <c r="E842" s="10" t="str">
        <f>HYPERLINK("https://twitter.com/NemesisSXX/status/1065864159873642496","1065864159873642496")</f>
        <v>1065864159873642496</v>
      </c>
      <c r="F842" s="11" t="s">
        <v>746</v>
      </c>
      <c r="G842" s="12"/>
      <c r="H842" s="12"/>
      <c r="I842" s="13">
        <v>0</v>
      </c>
      <c r="J842" s="13">
        <v>0</v>
      </c>
      <c r="K842" s="14" t="str">
        <f>HYPERLINK("http://twitter.com","Twitter Web Client")</f>
        <v>Twitter Web Client</v>
      </c>
      <c r="L842" s="13">
        <v>145</v>
      </c>
      <c r="M842" s="13">
        <v>185</v>
      </c>
      <c r="N842" s="13">
        <v>3</v>
      </c>
      <c r="O842" s="15"/>
      <c r="P842" s="6">
        <v>41804.743564814817</v>
      </c>
      <c r="Q842" s="12"/>
      <c r="R842" s="18" t="s">
        <v>587</v>
      </c>
      <c r="S842" s="12"/>
      <c r="T842" s="12"/>
      <c r="U842" s="16" t="s">
        <v>373</v>
      </c>
    </row>
    <row r="843" spans="1:21" ht="30.6">
      <c r="A843" s="6">
        <v>43427.336215277777</v>
      </c>
      <c r="B843" s="7" t="str">
        <f>HYPERLINK("https://twitter.com/infiltradoxxx","@infiltradoxxx")</f>
        <v>@infiltradoxxx</v>
      </c>
      <c r="C843" s="8" t="s">
        <v>3515</v>
      </c>
      <c r="D843" s="9" t="s">
        <v>3516</v>
      </c>
      <c r="E843" s="10" t="str">
        <f>HYPERLINK("https://twitter.com/infiltradoxxx/status/1065863555617091586","1065863555617091586")</f>
        <v>1065863555617091586</v>
      </c>
      <c r="F843" s="12"/>
      <c r="G843" s="12"/>
      <c r="H843" s="12"/>
      <c r="I843" s="13">
        <v>7</v>
      </c>
      <c r="J843" s="13">
        <v>13</v>
      </c>
      <c r="K843" s="14" t="str">
        <f>HYPERLINK("http://twitter.com/download/iphone","Twitter for iPhone")</f>
        <v>Twitter for iPhone</v>
      </c>
      <c r="L843" s="13">
        <v>4376</v>
      </c>
      <c r="M843" s="13">
        <v>2106</v>
      </c>
      <c r="N843" s="13">
        <v>34</v>
      </c>
      <c r="O843" s="15"/>
      <c r="P843" s="6">
        <v>42799.822534722218</v>
      </c>
      <c r="Q843" s="17" t="s">
        <v>28</v>
      </c>
      <c r="R843" s="18" t="s">
        <v>3517</v>
      </c>
      <c r="S843" s="12"/>
      <c r="T843" s="12"/>
      <c r="U843" s="10" t="str">
        <f>HYPERLINK("https://pbs.twimg.com/profile_images/1037330719490617346/CDF-QBLs.jpg","View")</f>
        <v>View</v>
      </c>
    </row>
    <row r="844" spans="1:21" ht="40.799999999999997">
      <c r="A844" s="6">
        <v>43427.334918981476</v>
      </c>
      <c r="B844" s="7" t="str">
        <f>HYPERLINK("https://twitter.com/mmmbango","@mmmbango")</f>
        <v>@mmmbango</v>
      </c>
      <c r="C844" s="8" t="s">
        <v>3518</v>
      </c>
      <c r="D844" s="9" t="s">
        <v>3519</v>
      </c>
      <c r="E844" s="10" t="str">
        <f>HYPERLINK("https://twitter.com/mmmbango/status/1065863085708242945","1065863085708242945")</f>
        <v>1065863085708242945</v>
      </c>
      <c r="F844" s="11" t="s">
        <v>3520</v>
      </c>
      <c r="G844" s="12"/>
      <c r="H844" s="12"/>
      <c r="I844" s="13">
        <v>0</v>
      </c>
      <c r="J844" s="13">
        <v>0</v>
      </c>
      <c r="K844" s="14" t="str">
        <f>HYPERLINK("http://twitter.com/download/android","Twitter for Android")</f>
        <v>Twitter for Android</v>
      </c>
      <c r="L844" s="13">
        <v>6680</v>
      </c>
      <c r="M844" s="13">
        <v>4473</v>
      </c>
      <c r="N844" s="13">
        <v>69</v>
      </c>
      <c r="O844" s="15"/>
      <c r="P844" s="6">
        <v>41521.720983796295</v>
      </c>
      <c r="Q844" s="17" t="s">
        <v>3521</v>
      </c>
      <c r="R844" s="18" t="s">
        <v>3522</v>
      </c>
      <c r="S844" s="11" t="s">
        <v>3523</v>
      </c>
      <c r="T844" s="12"/>
      <c r="U844" s="10" t="str">
        <f>HYPERLINK("https://pbs.twimg.com/profile_images/855523465796964352/PuP44M-h.jpg","View")</f>
        <v>View</v>
      </c>
    </row>
    <row r="845" spans="1:21" ht="30.6">
      <c r="A845" s="6">
        <v>43427.333668981482</v>
      </c>
      <c r="B845" s="7" t="str">
        <f>HYPERLINK("https://twitter.com/Cambio16","@Cambio16")</f>
        <v>@Cambio16</v>
      </c>
      <c r="C845" s="8" t="s">
        <v>22</v>
      </c>
      <c r="D845" s="9" t="s">
        <v>3524</v>
      </c>
      <c r="E845" s="10" t="str">
        <f>HYPERLINK("https://twitter.com/Cambio16/status/1065862634875039744","1065862634875039744")</f>
        <v>1065862634875039744</v>
      </c>
      <c r="F845" s="11" t="s">
        <v>3525</v>
      </c>
      <c r="G845" s="11" t="s">
        <v>3526</v>
      </c>
      <c r="H845" s="12"/>
      <c r="I845" s="13">
        <v>0</v>
      </c>
      <c r="J845" s="13">
        <v>0</v>
      </c>
      <c r="K845" s="14" t="str">
        <f>HYPERLINK("https://www.hootsuite.com","Hootsuite Inc.")</f>
        <v>Hootsuite Inc.</v>
      </c>
      <c r="L845" s="13">
        <v>17345</v>
      </c>
      <c r="M845" s="13">
        <v>765</v>
      </c>
      <c r="N845" s="13">
        <v>499</v>
      </c>
      <c r="O845" s="15"/>
      <c r="P845" s="6">
        <v>40341.492245370369</v>
      </c>
      <c r="Q845" s="17" t="s">
        <v>27</v>
      </c>
      <c r="R845" s="18" t="s">
        <v>30</v>
      </c>
      <c r="S845" s="11" t="s">
        <v>31</v>
      </c>
      <c r="T845" s="12"/>
      <c r="U845" s="10" t="str">
        <f>HYPERLINK("https://pbs.twimg.com/profile_images/1060221846208069632/vJfJ3_T5.jpg","View")</f>
        <v>View</v>
      </c>
    </row>
    <row r="846" spans="1:21" ht="30.6">
      <c r="A846" s="6">
        <v>43427.332407407404</v>
      </c>
      <c r="B846" s="7" t="str">
        <f>HYPERLINK("https://twitter.com/MVallejoTV","@MVallejoTV")</f>
        <v>@MVallejoTV</v>
      </c>
      <c r="C846" s="8" t="s">
        <v>3527</v>
      </c>
      <c r="D846" s="9" t="s">
        <v>3528</v>
      </c>
      <c r="E846" s="10" t="str">
        <f>HYPERLINK("https://twitter.com/MVallejoTV/status/1065862176693473280","1065862176693473280")</f>
        <v>1065862176693473280</v>
      </c>
      <c r="F846" s="11" t="s">
        <v>3529</v>
      </c>
      <c r="G846" s="12"/>
      <c r="H846" s="12"/>
      <c r="I846" s="13">
        <v>0</v>
      </c>
      <c r="J846" s="13">
        <v>0</v>
      </c>
      <c r="K846" s="14" t="str">
        <f>HYPERLINK("http://www.facebook.com/twitter","Facebook")</f>
        <v>Facebook</v>
      </c>
      <c r="L846" s="13">
        <v>62857</v>
      </c>
      <c r="M846" s="13">
        <v>2133</v>
      </c>
      <c r="N846" s="13">
        <v>61</v>
      </c>
      <c r="O846" s="16" t="s">
        <v>26</v>
      </c>
      <c r="P846" s="6">
        <v>40719.98300925926</v>
      </c>
      <c r="Q846" s="17" t="s">
        <v>839</v>
      </c>
      <c r="R846" s="18" t="s">
        <v>3530</v>
      </c>
      <c r="S846" s="11" t="s">
        <v>3531</v>
      </c>
      <c r="T846" s="12"/>
      <c r="U846" s="10" t="str">
        <f>HYPERLINK("https://pbs.twimg.com/profile_images/678741448859062272/uY8VM7kK.jpg","View")</f>
        <v>View</v>
      </c>
    </row>
    <row r="847" spans="1:21" ht="30.6">
      <c r="A847" s="6">
        <v>43427.330960648149</v>
      </c>
      <c r="B847" s="7" t="str">
        <f>HYPERLINK("https://twitter.com/Chusina5","@Chusina5")</f>
        <v>@Chusina5</v>
      </c>
      <c r="C847" s="8" t="s">
        <v>3532</v>
      </c>
      <c r="D847" s="9" t="s">
        <v>3533</v>
      </c>
      <c r="E847" s="10" t="str">
        <f>HYPERLINK("https://twitter.com/Chusina5/status/1065861653638586369","1065861653638586369")</f>
        <v>1065861653638586369</v>
      </c>
      <c r="F847" s="11" t="s">
        <v>3534</v>
      </c>
      <c r="G847" s="12"/>
      <c r="H847" s="12"/>
      <c r="I847" s="13">
        <v>0</v>
      </c>
      <c r="J847" s="13">
        <v>0</v>
      </c>
      <c r="K847" s="14" t="str">
        <f>HYPERLINK("http://twitter.com","Twitter Web Client")</f>
        <v>Twitter Web Client</v>
      </c>
      <c r="L847" s="13">
        <v>11923</v>
      </c>
      <c r="M847" s="13">
        <v>11195</v>
      </c>
      <c r="N847" s="13">
        <v>131</v>
      </c>
      <c r="O847" s="15"/>
      <c r="P847" s="6">
        <v>41013.619976851856</v>
      </c>
      <c r="Q847" s="17" t="s">
        <v>3535</v>
      </c>
      <c r="R847" s="18" t="s">
        <v>3536</v>
      </c>
      <c r="S847" s="12"/>
      <c r="T847" s="12"/>
      <c r="U847" s="10" t="str">
        <f>HYPERLINK("https://pbs.twimg.com/profile_images/1053545632043057153/9dPzmk-p.jpg","View")</f>
        <v>View</v>
      </c>
    </row>
    <row r="848" spans="1:21" ht="51">
      <c r="A848" s="6">
        <v>43427.33084490741</v>
      </c>
      <c r="B848" s="7" t="str">
        <f>HYPERLINK("https://twitter.com/jmoya_97","@jmoya_97")</f>
        <v>@jmoya_97</v>
      </c>
      <c r="C848" s="8" t="s">
        <v>3537</v>
      </c>
      <c r="D848" s="9" t="s">
        <v>3538</v>
      </c>
      <c r="E848" s="10" t="str">
        <f>HYPERLINK("https://twitter.com/jmoya_97/status/1065861611796090880","1065861611796090880")</f>
        <v>1065861611796090880</v>
      </c>
      <c r="F848" s="11" t="s">
        <v>746</v>
      </c>
      <c r="G848" s="12"/>
      <c r="H848" s="12"/>
      <c r="I848" s="13">
        <v>0</v>
      </c>
      <c r="J848" s="13">
        <v>0</v>
      </c>
      <c r="K848" s="14" t="str">
        <f>HYPERLINK("http://twitter.com/download/android","Twitter for Android")</f>
        <v>Twitter for Android</v>
      </c>
      <c r="L848" s="13">
        <v>275</v>
      </c>
      <c r="M848" s="13">
        <v>525</v>
      </c>
      <c r="N848" s="13">
        <v>3</v>
      </c>
      <c r="O848" s="15"/>
      <c r="P848" s="6">
        <v>41008.485960648148</v>
      </c>
      <c r="Q848" s="17" t="s">
        <v>405</v>
      </c>
      <c r="R848" s="18" t="s">
        <v>3539</v>
      </c>
      <c r="S848" s="11" t="s">
        <v>3540</v>
      </c>
      <c r="T848" s="12"/>
      <c r="U848" s="10" t="str">
        <f>HYPERLINK("https://pbs.twimg.com/profile_images/714134198265712640/svsHeTpm.jpg","View")</f>
        <v>View</v>
      </c>
    </row>
    <row r="849" spans="1:21" ht="51">
      <c r="A849" s="6">
        <v>43427.330543981487</v>
      </c>
      <c r="B849" s="7" t="str">
        <f>HYPERLINK("https://twitter.com/AndresMarchante","@AndresMarchante")</f>
        <v>@AndresMarchante</v>
      </c>
      <c r="C849" s="8" t="s">
        <v>3541</v>
      </c>
      <c r="D849" s="9" t="s">
        <v>3542</v>
      </c>
      <c r="E849" s="10" t="str">
        <f>HYPERLINK("https://twitter.com/AndresMarchante/status/1065861500307410944","1065861500307410944")</f>
        <v>1065861500307410944</v>
      </c>
      <c r="F849" s="12"/>
      <c r="G849" s="12"/>
      <c r="H849" s="12"/>
      <c r="I849" s="13">
        <v>1</v>
      </c>
      <c r="J849" s="13">
        <v>1</v>
      </c>
      <c r="K849" s="14" t="str">
        <f>HYPERLINK("http://twitter.com/#!/download/ipad","Twitter for iPad")</f>
        <v>Twitter for iPad</v>
      </c>
      <c r="L849" s="13">
        <v>2205</v>
      </c>
      <c r="M849" s="13">
        <v>65</v>
      </c>
      <c r="N849" s="13">
        <v>147</v>
      </c>
      <c r="O849" s="15"/>
      <c r="P849" s="6">
        <v>39914.813576388886</v>
      </c>
      <c r="Q849" s="17" t="s">
        <v>3543</v>
      </c>
      <c r="R849" s="18" t="s">
        <v>3544</v>
      </c>
      <c r="S849" s="12"/>
      <c r="T849" s="12"/>
      <c r="U849" s="10" t="str">
        <f>HYPERLINK("https://pbs.twimg.com/profile_images/1016405405260541954/nkRtFTTW.jpg","View")</f>
        <v>View</v>
      </c>
    </row>
    <row r="850" spans="1:21" ht="13.2">
      <c r="A850" s="6">
        <v>43427.33021990741</v>
      </c>
      <c r="B850" s="7" t="str">
        <f>HYPERLINK("https://twitter.com/Peshonaria","@Peshonaria")</f>
        <v>@Peshonaria</v>
      </c>
      <c r="C850" s="8" t="s">
        <v>3545</v>
      </c>
      <c r="D850" s="9" t="s">
        <v>3546</v>
      </c>
      <c r="E850" s="10" t="str">
        <f>HYPERLINK("https://twitter.com/Peshonaria/status/1065861384230060033","1065861384230060033")</f>
        <v>1065861384230060033</v>
      </c>
      <c r="F850" s="11" t="s">
        <v>2632</v>
      </c>
      <c r="G850" s="12"/>
      <c r="H850" s="12"/>
      <c r="I850" s="13">
        <v>1</v>
      </c>
      <c r="J850" s="13">
        <v>0</v>
      </c>
      <c r="K850" s="14" t="str">
        <f>HYPERLINK("http://twitter.com/download/android","Twitter for Android")</f>
        <v>Twitter for Android</v>
      </c>
      <c r="L850" s="13">
        <v>522</v>
      </c>
      <c r="M850" s="13">
        <v>301</v>
      </c>
      <c r="N850" s="13">
        <v>6</v>
      </c>
      <c r="O850" s="15"/>
      <c r="P850" s="6">
        <v>42380.664780092593</v>
      </c>
      <c r="Q850" s="17" t="s">
        <v>3547</v>
      </c>
      <c r="R850" s="19"/>
      <c r="S850" s="12"/>
      <c r="T850" s="12"/>
      <c r="U850" s="10" t="str">
        <f>HYPERLINK("https://pbs.twimg.com/profile_images/686565017190268929/0xEz-AyD.jpg","View")</f>
        <v>View</v>
      </c>
    </row>
    <row r="851" spans="1:21" ht="30.6">
      <c r="A851" s="6">
        <v>43427.326643518521</v>
      </c>
      <c r="B851" s="7" t="str">
        <f>HYPERLINK("https://twitter.com/pacomeralmu","@pacomeralmu")</f>
        <v>@pacomeralmu</v>
      </c>
      <c r="C851" s="8" t="s">
        <v>3548</v>
      </c>
      <c r="D851" s="9" t="s">
        <v>640</v>
      </c>
      <c r="E851" s="10" t="str">
        <f>HYPERLINK("https://twitter.com/pacomeralmu/status/1065860086730506240","1065860086730506240")</f>
        <v>1065860086730506240</v>
      </c>
      <c r="F851" s="11" t="s">
        <v>641</v>
      </c>
      <c r="G851" s="12"/>
      <c r="H851" s="12"/>
      <c r="I851" s="13">
        <v>1</v>
      </c>
      <c r="J851" s="13">
        <v>1</v>
      </c>
      <c r="K851" s="14" t="str">
        <f>HYPERLINK("http://twitter.com","Twitter Web Client")</f>
        <v>Twitter Web Client</v>
      </c>
      <c r="L851" s="13">
        <v>656</v>
      </c>
      <c r="M851" s="13">
        <v>1422</v>
      </c>
      <c r="N851" s="13">
        <v>2</v>
      </c>
      <c r="O851" s="15"/>
      <c r="P851" s="6">
        <v>40926.378819444442</v>
      </c>
      <c r="Q851" s="17" t="s">
        <v>28</v>
      </c>
      <c r="R851" s="18" t="s">
        <v>3549</v>
      </c>
      <c r="S851" s="12"/>
      <c r="T851" s="12"/>
      <c r="U851" s="10" t="str">
        <f>HYPERLINK("https://pbs.twimg.com/profile_images/1058038779993382913/TXiulBCZ.jpg","View")</f>
        <v>View</v>
      </c>
    </row>
    <row r="852" spans="1:21" ht="51">
      <c r="A852" s="6">
        <v>43427.32644675926</v>
      </c>
      <c r="B852" s="7" t="str">
        <f>HYPERLINK("https://twitter.com/GarciaCarmonaAM","@GarciaCarmonaAM")</f>
        <v>@GarciaCarmonaAM</v>
      </c>
      <c r="C852" s="8" t="s">
        <v>3550</v>
      </c>
      <c r="D852" s="9" t="s">
        <v>3551</v>
      </c>
      <c r="E852" s="10" t="str">
        <f>HYPERLINK("https://twitter.com/GarciaCarmonaAM/status/1065860017419677696","1065860017419677696")</f>
        <v>1065860017419677696</v>
      </c>
      <c r="F852" s="11" t="s">
        <v>3552</v>
      </c>
      <c r="G852" s="12"/>
      <c r="H852" s="12"/>
      <c r="I852" s="13">
        <v>1</v>
      </c>
      <c r="J852" s="13">
        <v>0</v>
      </c>
      <c r="K852" s="14" t="str">
        <f>HYPERLINK("http://twitter.com/download/android","Twitter for Android")</f>
        <v>Twitter for Android</v>
      </c>
      <c r="L852" s="13">
        <v>2703</v>
      </c>
      <c r="M852" s="13">
        <v>2487</v>
      </c>
      <c r="N852" s="13">
        <v>111</v>
      </c>
      <c r="O852" s="15"/>
      <c r="P852" s="6">
        <v>39995.782766203702</v>
      </c>
      <c r="Q852" s="17" t="s">
        <v>3553</v>
      </c>
      <c r="R852" s="18" t="s">
        <v>3554</v>
      </c>
      <c r="S852" s="11" t="s">
        <v>3555</v>
      </c>
      <c r="T852" s="12"/>
      <c r="U852" s="10" t="str">
        <f>HYPERLINK("https://pbs.twimg.com/profile_images/1061276482830516224/m6xQAoDS.jpg","View")</f>
        <v>View</v>
      </c>
    </row>
    <row r="853" spans="1:21" ht="40.799999999999997">
      <c r="A853" s="6">
        <v>43427.325185185182</v>
      </c>
      <c r="B853" s="7" t="str">
        <f>HYPERLINK("https://twitter.com/EmbaCuba_Italia","@EmbaCuba_Italia")</f>
        <v>@EmbaCuba_Italia</v>
      </c>
      <c r="C853" s="8" t="s">
        <v>3556</v>
      </c>
      <c r="D853" s="9" t="s">
        <v>3557</v>
      </c>
      <c r="E853" s="10" t="str">
        <f>HYPERLINK("https://twitter.com/EmbaCuba_Italia/status/1065859561645637633","1065859561645637633")</f>
        <v>1065859561645637633</v>
      </c>
      <c r="F853" s="11" t="s">
        <v>3558</v>
      </c>
      <c r="G853" s="11" t="s">
        <v>3559</v>
      </c>
      <c r="H853" s="12"/>
      <c r="I853" s="13">
        <v>7</v>
      </c>
      <c r="J853" s="13">
        <v>9</v>
      </c>
      <c r="K853" s="14" t="str">
        <f>HYPERLINK("http://twitter.com","Twitter Web Client")</f>
        <v>Twitter Web Client</v>
      </c>
      <c r="L853" s="13">
        <v>3348</v>
      </c>
      <c r="M853" s="13">
        <v>889</v>
      </c>
      <c r="N853" s="13">
        <v>69</v>
      </c>
      <c r="O853" s="15"/>
      <c r="P853" s="6">
        <v>42002.755208333328</v>
      </c>
      <c r="Q853" s="17" t="s">
        <v>3560</v>
      </c>
      <c r="R853" s="18" t="s">
        <v>3561</v>
      </c>
      <c r="S853" s="11" t="s">
        <v>297</v>
      </c>
      <c r="T853" s="12"/>
      <c r="U853" s="10" t="str">
        <f>HYPERLINK("https://pbs.twimg.com/profile_images/806236532810088448/KFxHxDnv.jpg","View")</f>
        <v>View</v>
      </c>
    </row>
    <row r="854" spans="1:21" ht="51">
      <c r="A854" s="6">
        <v>43427.323912037042</v>
      </c>
      <c r="B854" s="7" t="str">
        <f>HYPERLINK("https://twitter.com/Rivasforo","@Rivasforo")</f>
        <v>@Rivasforo</v>
      </c>
      <c r="C854" s="8" t="s">
        <v>3562</v>
      </c>
      <c r="D854" s="9" t="s">
        <v>3563</v>
      </c>
      <c r="E854" s="10" t="str">
        <f>HYPERLINK("https://twitter.com/Rivasforo/status/1065859099068370944","1065859099068370944")</f>
        <v>1065859099068370944</v>
      </c>
      <c r="F854" s="11" t="s">
        <v>3564</v>
      </c>
      <c r="G854" s="12"/>
      <c r="H854" s="12"/>
      <c r="I854" s="13">
        <v>0</v>
      </c>
      <c r="J854" s="13">
        <v>0</v>
      </c>
      <c r="K854" s="14" t="str">
        <f>HYPERLINK("http://www.facebook.com/twitter","Facebook")</f>
        <v>Facebook</v>
      </c>
      <c r="L854" s="13">
        <v>2576</v>
      </c>
      <c r="M854" s="13">
        <v>1890</v>
      </c>
      <c r="N854" s="13">
        <v>47</v>
      </c>
      <c r="O854" s="15"/>
      <c r="P854" s="6">
        <v>41227.770891203705</v>
      </c>
      <c r="Q854" s="17" t="s">
        <v>3565</v>
      </c>
      <c r="R854" s="18" t="s">
        <v>3565</v>
      </c>
      <c r="S854" s="11" t="s">
        <v>3566</v>
      </c>
      <c r="T854" s="12"/>
      <c r="U854" s="10" t="str">
        <f>HYPERLINK("https://pbs.twimg.com/profile_images/1061562932385988609/ZW9TCSNb.jpg","View")</f>
        <v>View</v>
      </c>
    </row>
    <row r="855" spans="1:21" ht="20.399999999999999">
      <c r="A855" s="6">
        <v>43427.323553240742</v>
      </c>
      <c r="B855" s="7" t="str">
        <f>HYPERLINK("https://twitter.com/orue_s","@orue_s")</f>
        <v>@orue_s</v>
      </c>
      <c r="C855" s="8" t="s">
        <v>3567</v>
      </c>
      <c r="D855" s="9" t="s">
        <v>3568</v>
      </c>
      <c r="E855" s="10" t="str">
        <f>HYPERLINK("https://twitter.com/orue_s/status/1065858968071913472","1065858968071913472")</f>
        <v>1065858968071913472</v>
      </c>
      <c r="F855" s="12"/>
      <c r="G855" s="11" t="s">
        <v>3569</v>
      </c>
      <c r="H855" s="12"/>
      <c r="I855" s="13">
        <v>243</v>
      </c>
      <c r="J855" s="13">
        <v>420</v>
      </c>
      <c r="K855" s="14" t="str">
        <f>HYPERLINK("http://twitter.com","Twitter Web Client")</f>
        <v>Twitter Web Client</v>
      </c>
      <c r="L855" s="13">
        <v>11081</v>
      </c>
      <c r="M855" s="13">
        <v>276</v>
      </c>
      <c r="N855" s="13">
        <v>139</v>
      </c>
      <c r="O855" s="15"/>
      <c r="P855" s="6">
        <v>41081.711469907408</v>
      </c>
      <c r="Q855" s="12"/>
      <c r="R855" s="18" t="s">
        <v>3570</v>
      </c>
      <c r="S855" s="12"/>
      <c r="T855" s="12"/>
      <c r="U855" s="10" t="str">
        <f>HYPERLINK("https://pbs.twimg.com/profile_images/2328364781/caricaturas-0rue.jpg","View")</f>
        <v>View</v>
      </c>
    </row>
    <row r="856" spans="1:21" ht="30.6">
      <c r="A856" s="6">
        <v>43427.322916666672</v>
      </c>
      <c r="B856" s="7" t="str">
        <f>HYPERLINK("https://twitter.com/COPE","@COPE")</f>
        <v>@COPE</v>
      </c>
      <c r="C856" s="8" t="s">
        <v>3571</v>
      </c>
      <c r="D856" s="9" t="s">
        <v>3572</v>
      </c>
      <c r="E856" s="10" t="str">
        <f>HYPERLINK("https://twitter.com/COPE/status/1065858738538582016","1065858738538582016")</f>
        <v>1065858738538582016</v>
      </c>
      <c r="F856" s="11" t="s">
        <v>3573</v>
      </c>
      <c r="G856" s="12"/>
      <c r="H856" s="12"/>
      <c r="I856" s="13">
        <v>2</v>
      </c>
      <c r="J856" s="13">
        <v>1</v>
      </c>
      <c r="K856" s="14" t="str">
        <f>HYPERLINK("http://dogtrack.es","DogTrack_Oficial")</f>
        <v>DogTrack_Oficial</v>
      </c>
      <c r="L856" s="13">
        <v>352773</v>
      </c>
      <c r="M856" s="13">
        <v>149</v>
      </c>
      <c r="N856" s="13">
        <v>3087</v>
      </c>
      <c r="O856" s="16" t="s">
        <v>26</v>
      </c>
      <c r="P856" s="6">
        <v>39381.538321759261</v>
      </c>
      <c r="Q856" s="17" t="s">
        <v>141</v>
      </c>
      <c r="R856" s="18" t="s">
        <v>3574</v>
      </c>
      <c r="S856" s="11" t="s">
        <v>3575</v>
      </c>
      <c r="T856" s="12"/>
      <c r="U856" s="10" t="str">
        <f>HYPERLINK("https://pbs.twimg.com/profile_images/1063097716031533059/yAe1j-56.jpg","View")</f>
        <v>View</v>
      </c>
    </row>
    <row r="857" spans="1:21" ht="40.799999999999997">
      <c r="A857" s="6">
        <v>43427.322048611109</v>
      </c>
      <c r="B857" s="7" t="str">
        <f>HYPERLINK("https://twitter.com/MuyLiberal","@MuyLiberal")</f>
        <v>@MuyLiberal</v>
      </c>
      <c r="C857" s="8" t="s">
        <v>782</v>
      </c>
      <c r="D857" s="9" t="s">
        <v>3576</v>
      </c>
      <c r="E857" s="10" t="str">
        <f>HYPERLINK("https://twitter.com/MuyLiberal/status/1065858422460088320","1065858422460088320")</f>
        <v>1065858422460088320</v>
      </c>
      <c r="F857" s="11" t="s">
        <v>3577</v>
      </c>
      <c r="G857" s="12"/>
      <c r="H857" s="12"/>
      <c r="I857" s="13">
        <v>18</v>
      </c>
      <c r="J857" s="13">
        <v>8</v>
      </c>
      <c r="K857" s="14" t="str">
        <f>HYPERLINK("http://twitter.com","Twitter Web Client")</f>
        <v>Twitter Web Client</v>
      </c>
      <c r="L857" s="13">
        <v>29339</v>
      </c>
      <c r="M857" s="13">
        <v>1972</v>
      </c>
      <c r="N857" s="13">
        <v>238</v>
      </c>
      <c r="O857" s="16" t="s">
        <v>26</v>
      </c>
      <c r="P857" s="6">
        <v>41184.784629629634</v>
      </c>
      <c r="Q857" s="12"/>
      <c r="R857" s="18" t="s">
        <v>785</v>
      </c>
      <c r="S857" s="11" t="s">
        <v>786</v>
      </c>
      <c r="T857" s="12"/>
      <c r="U857" s="10" t="str">
        <f>HYPERLINK("https://pbs.twimg.com/profile_images/1065892129539530753/g638P6sH.jpg","View")</f>
        <v>View</v>
      </c>
    </row>
    <row r="858" spans="1:21" ht="20.399999999999999">
      <c r="A858" s="6">
        <v>43427.321539351848</v>
      </c>
      <c r="B858" s="7" t="str">
        <f>HYPERLINK("https://twitter.com/cubaenmalaga","@cubaenmalaga")</f>
        <v>@cubaenmalaga</v>
      </c>
      <c r="C858" s="8" t="s">
        <v>3578</v>
      </c>
      <c r="D858" s="9" t="s">
        <v>3579</v>
      </c>
      <c r="E858" s="10" t="str">
        <f>HYPERLINK("https://twitter.com/cubaenmalaga/status/1065858237034110976","1065858237034110976")</f>
        <v>1065858237034110976</v>
      </c>
      <c r="F858" s="12"/>
      <c r="G858" s="11" t="s">
        <v>3580</v>
      </c>
      <c r="H858" s="12"/>
      <c r="I858" s="13">
        <v>0</v>
      </c>
      <c r="J858" s="13">
        <v>0</v>
      </c>
      <c r="K858" s="14" t="str">
        <f>HYPERLINK("http://twitter.com/download/android","Twitter for Android")</f>
        <v>Twitter for Android</v>
      </c>
      <c r="L858" s="13">
        <v>201</v>
      </c>
      <c r="M858" s="13">
        <v>257</v>
      </c>
      <c r="N858" s="13">
        <v>1</v>
      </c>
      <c r="O858" s="15"/>
      <c r="P858" s="6">
        <v>42520.922662037032</v>
      </c>
      <c r="Q858" s="17" t="s">
        <v>550</v>
      </c>
      <c r="R858" s="18" t="s">
        <v>3581</v>
      </c>
      <c r="S858" s="12"/>
      <c r="T858" s="12"/>
      <c r="U858" s="10" t="str">
        <f>HYPERLINK("https://pbs.twimg.com/profile_images/898103546033434624/RQK6Cbhr.jpg","View")</f>
        <v>View</v>
      </c>
    </row>
    <row r="859" spans="1:21" ht="20.399999999999999">
      <c r="A859" s="6">
        <v>43427.320821759262</v>
      </c>
      <c r="B859" s="7" t="str">
        <f>HYPERLINK("https://twitter.com/marymar_ub","@marymar_ub")</f>
        <v>@marymar_ub</v>
      </c>
      <c r="C859" s="8" t="s">
        <v>3582</v>
      </c>
      <c r="D859" s="9" t="s">
        <v>3583</v>
      </c>
      <c r="E859" s="10" t="str">
        <f>HYPERLINK("https://twitter.com/marymar_ub/status/1065857979638054912","1065857979638054912")</f>
        <v>1065857979638054912</v>
      </c>
      <c r="F859" s="11" t="s">
        <v>3584</v>
      </c>
      <c r="G859" s="12"/>
      <c r="H859" s="12"/>
      <c r="I859" s="13">
        <v>0</v>
      </c>
      <c r="J859" s="13">
        <v>0</v>
      </c>
      <c r="K859" s="14" t="str">
        <f t="shared" ref="K859:K862" si="153">HYPERLINK("http://twitter.com","Twitter Web Client")</f>
        <v>Twitter Web Client</v>
      </c>
      <c r="L859" s="13">
        <v>1666</v>
      </c>
      <c r="M859" s="13">
        <v>2130</v>
      </c>
      <c r="N859" s="13">
        <v>14</v>
      </c>
      <c r="O859" s="15"/>
      <c r="P859" s="6">
        <v>40941.555763888886</v>
      </c>
      <c r="Q859" s="12"/>
      <c r="R859" s="27" t="s">
        <v>3585</v>
      </c>
      <c r="S859" s="12"/>
      <c r="T859" s="12"/>
      <c r="U859" s="10" t="str">
        <f>HYPERLINK("https://pbs.twimg.com/profile_images/1024307030708969472/h0X_khAE.jpg","View")</f>
        <v>View</v>
      </c>
    </row>
    <row r="860" spans="1:21" ht="40.799999999999997">
      <c r="A860" s="6">
        <v>43427.320694444439</v>
      </c>
      <c r="B860" s="7" t="str">
        <f>HYPERLINK("https://twitter.com/Rogerdaflor","@Rogerdaflor")</f>
        <v>@Rogerdaflor</v>
      </c>
      <c r="C860" s="8" t="s">
        <v>3586</v>
      </c>
      <c r="D860" s="9" t="s">
        <v>3587</v>
      </c>
      <c r="E860" s="10" t="str">
        <f>HYPERLINK("https://twitter.com/Rogerdaflor/status/1065857934092115969","1065857934092115969")</f>
        <v>1065857934092115969</v>
      </c>
      <c r="F860" s="11" t="s">
        <v>1672</v>
      </c>
      <c r="G860" s="12"/>
      <c r="H860" s="12"/>
      <c r="I860" s="13">
        <v>0</v>
      </c>
      <c r="J860" s="13">
        <v>0</v>
      </c>
      <c r="K860" s="14" t="str">
        <f t="shared" si="153"/>
        <v>Twitter Web Client</v>
      </c>
      <c r="L860" s="13">
        <v>236</v>
      </c>
      <c r="M860" s="13">
        <v>1558</v>
      </c>
      <c r="N860" s="13">
        <v>0</v>
      </c>
      <c r="O860" s="15"/>
      <c r="P860" s="6">
        <v>40336.615162037036</v>
      </c>
      <c r="Q860" s="12"/>
      <c r="R860" s="18" t="s">
        <v>3588</v>
      </c>
      <c r="S860" s="12"/>
      <c r="T860" s="12"/>
      <c r="U860" s="10" t="str">
        <f>HYPERLINK("https://pbs.twimg.com/profile_images/969514380256825344/Xuv1iYyw.jpg","View")</f>
        <v>View</v>
      </c>
    </row>
    <row r="861" spans="1:21" ht="40.799999999999997">
      <c r="A861" s="6">
        <v>43427.320428240739</v>
      </c>
      <c r="B861" s="7" t="str">
        <f>HYPERLINK("https://twitter.com/MuyLiberal","@MuyLiberal")</f>
        <v>@MuyLiberal</v>
      </c>
      <c r="C861" s="8" t="s">
        <v>782</v>
      </c>
      <c r="D861" s="9" t="s">
        <v>3589</v>
      </c>
      <c r="E861" s="10" t="str">
        <f>HYPERLINK("https://twitter.com/MuyLiberal/status/1065857834716487680","1065857834716487680")</f>
        <v>1065857834716487680</v>
      </c>
      <c r="F861" s="11" t="s">
        <v>3590</v>
      </c>
      <c r="G861" s="12"/>
      <c r="H861" s="12"/>
      <c r="I861" s="13">
        <v>13</v>
      </c>
      <c r="J861" s="13">
        <v>18</v>
      </c>
      <c r="K861" s="14" t="str">
        <f t="shared" si="153"/>
        <v>Twitter Web Client</v>
      </c>
      <c r="L861" s="13">
        <v>29339</v>
      </c>
      <c r="M861" s="13">
        <v>1972</v>
      </c>
      <c r="N861" s="13">
        <v>238</v>
      </c>
      <c r="O861" s="16" t="s">
        <v>26</v>
      </c>
      <c r="P861" s="6">
        <v>41184.784629629634</v>
      </c>
      <c r="Q861" s="12"/>
      <c r="R861" s="18" t="s">
        <v>785</v>
      </c>
      <c r="S861" s="11" t="s">
        <v>786</v>
      </c>
      <c r="T861" s="12"/>
      <c r="U861" s="10" t="str">
        <f>HYPERLINK("https://pbs.twimg.com/profile_images/1065892129539530753/g638P6sH.jpg","View")</f>
        <v>View</v>
      </c>
    </row>
    <row r="862" spans="1:21" ht="40.799999999999997">
      <c r="A862" s="6">
        <v>43427.320208333331</v>
      </c>
      <c r="B862" s="7" t="str">
        <f>HYPERLINK("https://twitter.com/MasDeUno","@MasDeUno")</f>
        <v>@MasDeUno</v>
      </c>
      <c r="C862" s="8" t="s">
        <v>3375</v>
      </c>
      <c r="D862" s="9" t="s">
        <v>3591</v>
      </c>
      <c r="E862" s="10" t="str">
        <f>HYPERLINK("https://twitter.com/MasDeUno/status/1065857755397980160","1065857755397980160")</f>
        <v>1065857755397980160</v>
      </c>
      <c r="F862" s="11" t="s">
        <v>3377</v>
      </c>
      <c r="G862" s="11" t="s">
        <v>3592</v>
      </c>
      <c r="H862" s="12"/>
      <c r="I862" s="13">
        <v>0</v>
      </c>
      <c r="J862" s="13">
        <v>4</v>
      </c>
      <c r="K862" s="14" t="str">
        <f t="shared" si="153"/>
        <v>Twitter Web Client</v>
      </c>
      <c r="L862" s="13">
        <v>49520</v>
      </c>
      <c r="M862" s="13">
        <v>259</v>
      </c>
      <c r="N862" s="13">
        <v>506</v>
      </c>
      <c r="O862" s="16" t="s">
        <v>26</v>
      </c>
      <c r="P862" s="6">
        <v>42088.51399305556</v>
      </c>
      <c r="Q862" s="12"/>
      <c r="R862" s="18" t="s">
        <v>3379</v>
      </c>
      <c r="S862" s="11" t="s">
        <v>3380</v>
      </c>
      <c r="T862" s="12"/>
      <c r="U862" s="10" t="str">
        <f>HYPERLINK("https://pbs.twimg.com/profile_images/581419702653698048/nUHjNg6A.jpg","View")</f>
        <v>View</v>
      </c>
    </row>
    <row r="863" spans="1:21" ht="51">
      <c r="A863" s="6">
        <v>43427.320069444446</v>
      </c>
      <c r="B863" s="7" t="str">
        <f>HYPERLINK("https://twitter.com/campo1977","@campo1977")</f>
        <v>@campo1977</v>
      </c>
      <c r="C863" s="8" t="s">
        <v>3593</v>
      </c>
      <c r="D863" s="9" t="s">
        <v>3594</v>
      </c>
      <c r="E863" s="10" t="str">
        <f>HYPERLINK("https://twitter.com/campo1977/status/1065857705599008768","1065857705599008768")</f>
        <v>1065857705599008768</v>
      </c>
      <c r="F863" s="11" t="s">
        <v>3595</v>
      </c>
      <c r="G863" s="12"/>
      <c r="H863" s="12"/>
      <c r="I863" s="13">
        <v>1</v>
      </c>
      <c r="J863" s="13">
        <v>2</v>
      </c>
      <c r="K863" s="14" t="str">
        <f>HYPERLINK("https://mobile.twitter.com","Twitter Lite")</f>
        <v>Twitter Lite</v>
      </c>
      <c r="L863" s="13">
        <v>1050</v>
      </c>
      <c r="M863" s="13">
        <v>603</v>
      </c>
      <c r="N863" s="13">
        <v>19</v>
      </c>
      <c r="O863" s="15"/>
      <c r="P863" s="6">
        <v>41182.968854166669</v>
      </c>
      <c r="Q863" s="12"/>
      <c r="R863" s="19"/>
      <c r="S863" s="12"/>
      <c r="T863" s="12"/>
      <c r="U863" s="10" t="str">
        <f>HYPERLINK("https://pbs.twimg.com/profile_images/529005681568137217/XZuhWGU9.jpeg","View")</f>
        <v>View</v>
      </c>
    </row>
    <row r="864" spans="1:21" ht="51">
      <c r="A864" s="6">
        <v>43427.31967592593</v>
      </c>
      <c r="B864" s="7" t="str">
        <f>HYPERLINK("https://twitter.com/dionisiossss","@dionisiossss")</f>
        <v>@dionisiossss</v>
      </c>
      <c r="C864" s="8" t="s">
        <v>3596</v>
      </c>
      <c r="D864" s="9" t="s">
        <v>3597</v>
      </c>
      <c r="E864" s="10" t="str">
        <f>HYPERLINK("https://twitter.com/dionisiossss/status/1065857563353366528","1065857563353366528")</f>
        <v>1065857563353366528</v>
      </c>
      <c r="F864" s="12"/>
      <c r="G864" s="12"/>
      <c r="H864" s="12"/>
      <c r="I864" s="13">
        <v>3</v>
      </c>
      <c r="J864" s="13">
        <v>1</v>
      </c>
      <c r="K864" s="14" t="str">
        <f t="shared" ref="K864:K867" si="154">HYPERLINK("http://twitter.com/download/android","Twitter for Android")</f>
        <v>Twitter for Android</v>
      </c>
      <c r="L864" s="13">
        <v>6328</v>
      </c>
      <c r="M864" s="13">
        <v>6125</v>
      </c>
      <c r="N864" s="13">
        <v>44</v>
      </c>
      <c r="O864" s="15"/>
      <c r="P864" s="6">
        <v>40415.692986111113</v>
      </c>
      <c r="Q864" s="12"/>
      <c r="R864" s="18" t="s">
        <v>3598</v>
      </c>
      <c r="S864" s="11" t="s">
        <v>3599</v>
      </c>
      <c r="T864" s="12"/>
      <c r="U864" s="10" t="str">
        <f>HYPERLINK("https://pbs.twimg.com/profile_images/1035118567858077696/Epukkp3T.jpg","View")</f>
        <v>View</v>
      </c>
    </row>
    <row r="865" spans="1:21" ht="40.799999999999997">
      <c r="A865" s="6">
        <v>43427.319652777776</v>
      </c>
      <c r="B865" s="7" t="str">
        <f>HYPERLINK("https://twitter.com/DavidLVizcaino","@DavidLVizcaino")</f>
        <v>@DavidLVizcaino</v>
      </c>
      <c r="C865" s="8" t="s">
        <v>3600</v>
      </c>
      <c r="D865" s="9" t="s">
        <v>3601</v>
      </c>
      <c r="E865" s="10" t="str">
        <f>HYPERLINK("https://twitter.com/DavidLVizcaino/status/1065857553182142465","1065857553182142465")</f>
        <v>1065857553182142465</v>
      </c>
      <c r="F865" s="12"/>
      <c r="G865" s="12"/>
      <c r="H865" s="12"/>
      <c r="I865" s="13">
        <v>0</v>
      </c>
      <c r="J865" s="13">
        <v>1</v>
      </c>
      <c r="K865" s="14" t="str">
        <f t="shared" si="154"/>
        <v>Twitter for Android</v>
      </c>
      <c r="L865" s="13">
        <v>1433</v>
      </c>
      <c r="M865" s="13">
        <v>1030</v>
      </c>
      <c r="N865" s="13">
        <v>18</v>
      </c>
      <c r="O865" s="15"/>
      <c r="P865" s="6">
        <v>41942.674942129626</v>
      </c>
      <c r="Q865" s="12"/>
      <c r="R865" s="18" t="s">
        <v>3602</v>
      </c>
      <c r="S865" s="11" t="s">
        <v>3603</v>
      </c>
      <c r="T865" s="12"/>
      <c r="U865" s="10" t="str">
        <f>HYPERLINK("https://pbs.twimg.com/profile_images/527842323359465472/A8-dtjg2.jpeg","View")</f>
        <v>View</v>
      </c>
    </row>
    <row r="866" spans="1:21" ht="30.6">
      <c r="A866" s="6">
        <v>43427.319189814814</v>
      </c>
      <c r="B866" s="7" t="str">
        <f>HYPERLINK("https://twitter.com/ichingiking","@ichingiking")</f>
        <v>@ichingiking</v>
      </c>
      <c r="C866" s="8" t="s">
        <v>3604</v>
      </c>
      <c r="D866" s="9" t="s">
        <v>3605</v>
      </c>
      <c r="E866" s="10" t="str">
        <f>HYPERLINK("https://twitter.com/ichingiking/status/1065857387234557952","1065857387234557952")</f>
        <v>1065857387234557952</v>
      </c>
      <c r="F866" s="12"/>
      <c r="G866" s="12"/>
      <c r="H866" s="12"/>
      <c r="I866" s="13">
        <v>4</v>
      </c>
      <c r="J866" s="13">
        <v>7</v>
      </c>
      <c r="K866" s="14" t="str">
        <f t="shared" si="154"/>
        <v>Twitter for Android</v>
      </c>
      <c r="L866" s="13">
        <v>1021</v>
      </c>
      <c r="M866" s="13">
        <v>81</v>
      </c>
      <c r="N866" s="13">
        <v>10</v>
      </c>
      <c r="O866" s="15"/>
      <c r="P866" s="6">
        <v>40516.959594907406</v>
      </c>
      <c r="Q866" s="12"/>
      <c r="R866" s="18" t="s">
        <v>3606</v>
      </c>
      <c r="S866" s="12"/>
      <c r="T866" s="12"/>
      <c r="U866" s="10" t="str">
        <f>HYPERLINK("https://pbs.twimg.com/profile_images/893837629522944001/t4lcVjXv.jpg","View")</f>
        <v>View</v>
      </c>
    </row>
    <row r="867" spans="1:21" ht="30.6">
      <c r="A867" s="6">
        <v>43427.319085648152</v>
      </c>
      <c r="B867" s="7" t="str">
        <f>HYPERLINK("https://twitter.com/pallaron12","@pallaron12")</f>
        <v>@pallaron12</v>
      </c>
      <c r="C867" s="8" t="s">
        <v>2284</v>
      </c>
      <c r="D867" s="9" t="s">
        <v>3607</v>
      </c>
      <c r="E867" s="10" t="str">
        <f>HYPERLINK("https://twitter.com/pallaron12/status/1065857349993332736","1065857349993332736")</f>
        <v>1065857349993332736</v>
      </c>
      <c r="F867" s="11" t="s">
        <v>3608</v>
      </c>
      <c r="G867" s="12"/>
      <c r="H867" s="12"/>
      <c r="I867" s="13">
        <v>4</v>
      </c>
      <c r="J867" s="13">
        <v>3</v>
      </c>
      <c r="K867" s="14" t="str">
        <f t="shared" si="154"/>
        <v>Twitter for Android</v>
      </c>
      <c r="L867" s="13">
        <v>1412</v>
      </c>
      <c r="M867" s="13">
        <v>501</v>
      </c>
      <c r="N867" s="13">
        <v>8</v>
      </c>
      <c r="O867" s="15"/>
      <c r="P867" s="6">
        <v>41854.66134259259</v>
      </c>
      <c r="Q867" s="17" t="s">
        <v>2285</v>
      </c>
      <c r="R867" s="18" t="s">
        <v>2286</v>
      </c>
      <c r="S867" s="12"/>
      <c r="T867" s="12"/>
      <c r="U867" s="10" t="str">
        <f>HYPERLINK("https://pbs.twimg.com/profile_images/1064713832633896961/NkwZ7D9D.jpg","View")</f>
        <v>View</v>
      </c>
    </row>
    <row r="868" spans="1:21" ht="30.6">
      <c r="A868" s="6">
        <v>43427.318414351852</v>
      </c>
      <c r="B868" s="7" t="str">
        <f>HYPERLINK("https://twitter.com/A3Noticias","@A3Noticias")</f>
        <v>@A3Noticias</v>
      </c>
      <c r="C868" s="8" t="s">
        <v>3609</v>
      </c>
      <c r="D868" s="9" t="s">
        <v>3610</v>
      </c>
      <c r="E868" s="10" t="str">
        <f>HYPERLINK("https://twitter.com/A3Noticias/status/1065857106300076038","1065857106300076038")</f>
        <v>1065857106300076038</v>
      </c>
      <c r="F868" s="11" t="s">
        <v>3611</v>
      </c>
      <c r="G868" s="12"/>
      <c r="H868" s="12"/>
      <c r="I868" s="13">
        <v>3</v>
      </c>
      <c r="J868" s="13">
        <v>4</v>
      </c>
      <c r="K868" s="14" t="str">
        <f>HYPERLINK("http://dogtrack.es","DogTrack_Oficial")</f>
        <v>DogTrack_Oficial</v>
      </c>
      <c r="L868" s="13">
        <v>1720487</v>
      </c>
      <c r="M868" s="13">
        <v>406</v>
      </c>
      <c r="N868" s="13">
        <v>8132</v>
      </c>
      <c r="O868" s="16" t="s">
        <v>26</v>
      </c>
      <c r="P868" s="6">
        <v>40318.523495370369</v>
      </c>
      <c r="Q868" s="12"/>
      <c r="R868" s="18" t="s">
        <v>3612</v>
      </c>
      <c r="S868" s="11" t="s">
        <v>3613</v>
      </c>
      <c r="T868" s="12"/>
      <c r="U868" s="10" t="str">
        <f>HYPERLINK("https://pbs.twimg.com/profile_images/1047424467411107840/znEO0bjJ.jpg","View")</f>
        <v>View</v>
      </c>
    </row>
    <row r="869" spans="1:21" ht="20.399999999999999">
      <c r="A869" s="6">
        <v>43427.31722222222</v>
      </c>
      <c r="B869" s="7" t="str">
        <f>HYPERLINK("https://twitter.com/Well086","@Well086")</f>
        <v>@Well086</v>
      </c>
      <c r="C869" s="8" t="s">
        <v>3614</v>
      </c>
      <c r="D869" s="9" t="s">
        <v>3615</v>
      </c>
      <c r="E869" s="10" t="str">
        <f>HYPERLINK("https://twitter.com/Well086/status/1065856673196253184","1065856673196253184")</f>
        <v>1065856673196253184</v>
      </c>
      <c r="F869" s="12"/>
      <c r="G869" s="12"/>
      <c r="H869" s="12"/>
      <c r="I869" s="13">
        <v>141</v>
      </c>
      <c r="J869" s="13">
        <v>495</v>
      </c>
      <c r="K869" s="14" t="str">
        <f>HYPERLINK("http://twitter.com/download/iphone","Twitter for iPhone")</f>
        <v>Twitter for iPhone</v>
      </c>
      <c r="L869" s="13">
        <v>80178</v>
      </c>
      <c r="M869" s="13">
        <v>1679</v>
      </c>
      <c r="N869" s="13">
        <v>414</v>
      </c>
      <c r="O869" s="15"/>
      <c r="P869" s="6">
        <v>40442.03743055556</v>
      </c>
      <c r="Q869" s="17" t="s">
        <v>1096</v>
      </c>
      <c r="R869" s="18" t="s">
        <v>3616</v>
      </c>
      <c r="S869" s="12"/>
      <c r="T869" s="12"/>
      <c r="U869" s="10" t="str">
        <f>HYPERLINK("https://pbs.twimg.com/profile_images/865817752845647872/HvsUmRKz.jpg","View")</f>
        <v>View</v>
      </c>
    </row>
    <row r="870" spans="1:21" ht="30.6">
      <c r="A870" s="6">
        <v>43427.315891203703</v>
      </c>
      <c r="B870" s="7" t="str">
        <f>HYPERLINK("https://twitter.com/juditsanzibuxo","@juditsanzibuxo")</f>
        <v>@juditsanzibuxo</v>
      </c>
      <c r="C870" s="8" t="s">
        <v>3617</v>
      </c>
      <c r="D870" s="9" t="s">
        <v>3618</v>
      </c>
      <c r="E870" s="10" t="str">
        <f>HYPERLINK("https://twitter.com/juditsanzibuxo/status/1065856190930931713","1065856190930931713")</f>
        <v>1065856190930931713</v>
      </c>
      <c r="F870" s="11" t="s">
        <v>3619</v>
      </c>
      <c r="G870" s="12"/>
      <c r="H870" s="12"/>
      <c r="I870" s="13">
        <v>0</v>
      </c>
      <c r="J870" s="13">
        <v>0</v>
      </c>
      <c r="K870" s="14" t="str">
        <f>HYPERLINK("http://twitter.com","Twitter Web Client")</f>
        <v>Twitter Web Client</v>
      </c>
      <c r="L870" s="13">
        <v>200</v>
      </c>
      <c r="M870" s="13">
        <v>615</v>
      </c>
      <c r="N870" s="13">
        <v>0</v>
      </c>
      <c r="O870" s="15"/>
      <c r="P870" s="6">
        <v>41109.7575462963</v>
      </c>
      <c r="Q870" s="17" t="s">
        <v>3620</v>
      </c>
      <c r="R870" s="18" t="s">
        <v>3621</v>
      </c>
      <c r="S870" s="12"/>
      <c r="T870" s="12"/>
      <c r="U870" s="10" t="str">
        <f>HYPERLINK("https://pbs.twimg.com/profile_images/1052081370246381568/574fNVcv.jpg","View")</f>
        <v>View</v>
      </c>
    </row>
    <row r="871" spans="1:21" ht="40.799999999999997">
      <c r="A871" s="6">
        <v>43427.31521990741</v>
      </c>
      <c r="B871" s="7" t="str">
        <f>HYPERLINK("https://twitter.com/DavidLVizcaino","@DavidLVizcaino")</f>
        <v>@DavidLVizcaino</v>
      </c>
      <c r="C871" s="8" t="s">
        <v>3600</v>
      </c>
      <c r="D871" s="9" t="s">
        <v>3622</v>
      </c>
      <c r="E871" s="10" t="str">
        <f>HYPERLINK("https://twitter.com/DavidLVizcaino/status/1065855950442176513","1065855950442176513")</f>
        <v>1065855950442176513</v>
      </c>
      <c r="F871" s="12"/>
      <c r="G871" s="12"/>
      <c r="H871" s="12"/>
      <c r="I871" s="13">
        <v>0</v>
      </c>
      <c r="J871" s="13">
        <v>0</v>
      </c>
      <c r="K871" s="14" t="str">
        <f t="shared" ref="K871:K872" si="155">HYPERLINK("http://twitter.com/download/android","Twitter for Android")</f>
        <v>Twitter for Android</v>
      </c>
      <c r="L871" s="13">
        <v>1433</v>
      </c>
      <c r="M871" s="13">
        <v>1030</v>
      </c>
      <c r="N871" s="13">
        <v>18</v>
      </c>
      <c r="O871" s="15"/>
      <c r="P871" s="6">
        <v>41942.674942129626</v>
      </c>
      <c r="Q871" s="12"/>
      <c r="R871" s="18" t="s">
        <v>3602</v>
      </c>
      <c r="S871" s="11" t="s">
        <v>3603</v>
      </c>
      <c r="T871" s="12"/>
      <c r="U871" s="10" t="str">
        <f>HYPERLINK("https://pbs.twimg.com/profile_images/527842323359465472/A8-dtjg2.jpeg","View")</f>
        <v>View</v>
      </c>
    </row>
    <row r="872" spans="1:21" ht="51">
      <c r="A872" s="6">
        <v>43427.314965277779</v>
      </c>
      <c r="B872" s="7" t="str">
        <f>HYPERLINK("https://twitter.com/DianaOrtegaG","@DianaOrtegaG")</f>
        <v>@DianaOrtegaG</v>
      </c>
      <c r="C872" s="8" t="s">
        <v>749</v>
      </c>
      <c r="D872" s="9" t="s">
        <v>3623</v>
      </c>
      <c r="E872" s="10" t="str">
        <f>HYPERLINK("https://twitter.com/DianaOrtegaG/status/1065855858242985984","1065855858242985984")</f>
        <v>1065855858242985984</v>
      </c>
      <c r="F872" s="12"/>
      <c r="G872" s="12"/>
      <c r="H872" s="12"/>
      <c r="I872" s="13">
        <v>0</v>
      </c>
      <c r="J872" s="13">
        <v>0</v>
      </c>
      <c r="K872" s="14" t="str">
        <f t="shared" si="155"/>
        <v>Twitter for Android</v>
      </c>
      <c r="L872" s="13">
        <v>957</v>
      </c>
      <c r="M872" s="13">
        <v>502</v>
      </c>
      <c r="N872" s="13">
        <v>20</v>
      </c>
      <c r="O872" s="15"/>
      <c r="P872" s="6">
        <v>40478.728865740741</v>
      </c>
      <c r="Q872" s="17" t="s">
        <v>754</v>
      </c>
      <c r="R872" s="18" t="s">
        <v>755</v>
      </c>
      <c r="S872" s="11" t="s">
        <v>756</v>
      </c>
      <c r="T872" s="12"/>
      <c r="U872" s="10" t="str">
        <f>HYPERLINK("https://pbs.twimg.com/profile_images/1053542674865758208/F_ueHPi7.jpg","View")</f>
        <v>View</v>
      </c>
    </row>
    <row r="873" spans="1:21" ht="30.6">
      <c r="A873" s="6">
        <v>43427.313576388886</v>
      </c>
      <c r="B873" s="7" t="str">
        <f>HYPERLINK("https://twitter.com/riduran_p","@riduran_p")</f>
        <v>@riduran_p</v>
      </c>
      <c r="C873" s="8" t="s">
        <v>3624</v>
      </c>
      <c r="D873" s="9" t="s">
        <v>3625</v>
      </c>
      <c r="E873" s="10" t="str">
        <f>HYPERLINK("https://twitter.com/riduran_p/status/1065855354192437248","1065855354192437248")</f>
        <v>1065855354192437248</v>
      </c>
      <c r="F873" s="11" t="s">
        <v>3626</v>
      </c>
      <c r="G873" s="12"/>
      <c r="H873" s="12"/>
      <c r="I873" s="13">
        <v>2</v>
      </c>
      <c r="J873" s="13">
        <v>2</v>
      </c>
      <c r="K873" s="14" t="str">
        <f>HYPERLINK("http://twitter.com","Twitter Web Client")</f>
        <v>Twitter Web Client</v>
      </c>
      <c r="L873" s="13">
        <v>8433</v>
      </c>
      <c r="M873" s="13">
        <v>7344</v>
      </c>
      <c r="N873" s="13">
        <v>22</v>
      </c>
      <c r="O873" s="15"/>
      <c r="P873" s="6">
        <v>40678.594918981486</v>
      </c>
      <c r="Q873" s="17" t="s">
        <v>202</v>
      </c>
      <c r="R873" s="18" t="s">
        <v>3627</v>
      </c>
      <c r="S873" s="11" t="s">
        <v>3628</v>
      </c>
      <c r="T873" s="12"/>
      <c r="U873" s="10" t="str">
        <f>HYPERLINK("https://pbs.twimg.com/profile_images/972822677244272640/23HaWXad.jpg","View")</f>
        <v>View</v>
      </c>
    </row>
    <row r="874" spans="1:21" ht="20.399999999999999">
      <c r="A874" s="6">
        <v>43427.311064814814</v>
      </c>
      <c r="B874" s="7" t="str">
        <f>HYPERLINK("https://twitter.com/Eurocops1","@Eurocops1")</f>
        <v>@Eurocops1</v>
      </c>
      <c r="C874" s="8" t="s">
        <v>3629</v>
      </c>
      <c r="D874" s="9" t="s">
        <v>3630</v>
      </c>
      <c r="E874" s="10" t="str">
        <f>HYPERLINK("https://twitter.com/Eurocops1/status/1065854443365851137","1065854443365851137")</f>
        <v>1065854443365851137</v>
      </c>
      <c r="F874" s="11" t="s">
        <v>3631</v>
      </c>
      <c r="G874" s="12"/>
      <c r="H874" s="12"/>
      <c r="I874" s="13">
        <v>0</v>
      </c>
      <c r="J874" s="13">
        <v>1</v>
      </c>
      <c r="K874" s="14" t="str">
        <f>HYPERLINK("http://twitter.com/download/android","Twitter for Android")</f>
        <v>Twitter for Android</v>
      </c>
      <c r="L874" s="13">
        <v>6856</v>
      </c>
      <c r="M874" s="13">
        <v>382</v>
      </c>
      <c r="N874" s="13">
        <v>53</v>
      </c>
      <c r="O874" s="15"/>
      <c r="P874" s="6">
        <v>41597.741087962961</v>
      </c>
      <c r="Q874" s="12"/>
      <c r="R874" s="18" t="s">
        <v>3632</v>
      </c>
      <c r="S874" s="11" t="s">
        <v>3633</v>
      </c>
      <c r="T874" s="12"/>
      <c r="U874" s="10" t="str">
        <f>HYPERLINK("https://pbs.twimg.com/profile_images/681115585791569920/y68c_EIo.jpg","View")</f>
        <v>View</v>
      </c>
    </row>
    <row r="875" spans="1:21" ht="40.799999999999997">
      <c r="A875" s="6">
        <v>43427.310717592598</v>
      </c>
      <c r="B875" s="7" t="str">
        <f>HYPERLINK("https://twitter.com/jaimeberenguer","@jaimeberenguer")</f>
        <v>@jaimeberenguer</v>
      </c>
      <c r="C875" s="8" t="s">
        <v>3319</v>
      </c>
      <c r="D875" s="9" t="s">
        <v>3634</v>
      </c>
      <c r="E875" s="10" t="str">
        <f>HYPERLINK("https://twitter.com/jaimeberenguer/status/1065854317851230208","1065854317851230208")</f>
        <v>1065854317851230208</v>
      </c>
      <c r="F875" s="12"/>
      <c r="G875" s="12"/>
      <c r="H875" s="12"/>
      <c r="I875" s="13">
        <v>34</v>
      </c>
      <c r="J875" s="13">
        <v>34</v>
      </c>
      <c r="K875" s="14" t="str">
        <f>HYPERLINK("http://twitter.com/download/iphone","Twitter for iPhone")</f>
        <v>Twitter for iPhone</v>
      </c>
      <c r="L875" s="13">
        <v>14483</v>
      </c>
      <c r="M875" s="13">
        <v>2710</v>
      </c>
      <c r="N875" s="13">
        <v>211</v>
      </c>
      <c r="O875" s="15"/>
      <c r="P875" s="6">
        <v>40040.424120370371</v>
      </c>
      <c r="Q875" s="12"/>
      <c r="R875" s="18" t="s">
        <v>3322</v>
      </c>
      <c r="S875" s="12"/>
      <c r="T875" s="12"/>
      <c r="U875" s="10" t="str">
        <f>HYPERLINK("https://pbs.twimg.com/profile_images/1048222448372604936/LV72DRWb.jpg","View")</f>
        <v>View</v>
      </c>
    </row>
    <row r="876" spans="1:21" ht="51">
      <c r="A876" s="6">
        <v>43427.310694444444</v>
      </c>
      <c r="B876" s="7" t="str">
        <f>HYPERLINK("https://twitter.com/Gadabarthes","@Gadabarthes")</f>
        <v>@Gadabarthes</v>
      </c>
      <c r="C876" s="8" t="s">
        <v>3512</v>
      </c>
      <c r="D876" s="9" t="s">
        <v>3635</v>
      </c>
      <c r="E876" s="10" t="str">
        <f>HYPERLINK("https://twitter.com/Gadabarthes/status/1065854308468617217","1065854308468617217")</f>
        <v>1065854308468617217</v>
      </c>
      <c r="F876" s="11" t="s">
        <v>3636</v>
      </c>
      <c r="G876" s="12"/>
      <c r="H876" s="12"/>
      <c r="I876" s="13">
        <v>0</v>
      </c>
      <c r="J876" s="13">
        <v>0</v>
      </c>
      <c r="K876" s="14" t="str">
        <f>HYPERLINK("http://twitter.com","Twitter Web Client")</f>
        <v>Twitter Web Client</v>
      </c>
      <c r="L876" s="13">
        <v>10474</v>
      </c>
      <c r="M876" s="13">
        <v>9321</v>
      </c>
      <c r="N876" s="13">
        <v>109</v>
      </c>
      <c r="O876" s="15"/>
      <c r="P876" s="6">
        <v>40683.347395833334</v>
      </c>
      <c r="Q876" s="17" t="s">
        <v>3513</v>
      </c>
      <c r="R876" s="19"/>
      <c r="S876" s="12"/>
      <c r="T876" s="12"/>
      <c r="U876" s="10" t="str">
        <f>HYPERLINK("https://pbs.twimg.com/profile_images/3596394510/7b09ba6b50493db37e7255c914087a2c.jpeg","View")</f>
        <v>View</v>
      </c>
    </row>
    <row r="877" spans="1:21" ht="20.399999999999999">
      <c r="A877" s="6">
        <v>43427.310601851852</v>
      </c>
      <c r="B877" s="7" t="str">
        <f>HYPERLINK("https://twitter.com/KeNoticias01","@KeNoticias01")</f>
        <v>@KeNoticias01</v>
      </c>
      <c r="C877" s="8" t="s">
        <v>3637</v>
      </c>
      <c r="D877" s="9" t="s">
        <v>3121</v>
      </c>
      <c r="E877" s="10" t="str">
        <f>HYPERLINK("https://twitter.com/KeNoticias01/status/1065854273970421760","1065854273970421760")</f>
        <v>1065854273970421760</v>
      </c>
      <c r="F877" s="11" t="s">
        <v>3638</v>
      </c>
      <c r="G877" s="11" t="s">
        <v>3639</v>
      </c>
      <c r="H877" s="12"/>
      <c r="I877" s="13">
        <v>0</v>
      </c>
      <c r="J877" s="13">
        <v>0</v>
      </c>
      <c r="K877" s="14" t="str">
        <f>HYPERLINK("http://publicize.wp.com/","WordPress.com")</f>
        <v>WordPress.com</v>
      </c>
      <c r="L877" s="13">
        <v>594</v>
      </c>
      <c r="M877" s="13">
        <v>934</v>
      </c>
      <c r="N877" s="13">
        <v>1</v>
      </c>
      <c r="O877" s="15"/>
      <c r="P877" s="6">
        <v>40363.937048611115</v>
      </c>
      <c r="Q877" s="17" t="s">
        <v>3640</v>
      </c>
      <c r="R877" s="18" t="s">
        <v>3641</v>
      </c>
      <c r="S877" s="12"/>
      <c r="T877" s="12"/>
      <c r="U877" s="10" t="str">
        <f>HYPERLINK("https://pbs.twimg.com/profile_images/974024287358091264/dKkk76O3.jpg","View")</f>
        <v>View</v>
      </c>
    </row>
    <row r="878" spans="1:21" ht="20.399999999999999">
      <c r="A878" s="6">
        <v>43427.31049768519</v>
      </c>
      <c r="B878" s="7" t="str">
        <f>HYPERLINK("https://twitter.com/manuelhuga","@manuelhuga")</f>
        <v>@manuelhuga</v>
      </c>
      <c r="C878" s="8" t="s">
        <v>3642</v>
      </c>
      <c r="D878" s="9" t="s">
        <v>3643</v>
      </c>
      <c r="E878" s="10" t="str">
        <f>HYPERLINK("https://twitter.com/manuelhuga/status/1065854237849108481","1065854237849108481")</f>
        <v>1065854237849108481</v>
      </c>
      <c r="F878" s="12"/>
      <c r="G878" s="12"/>
      <c r="H878" s="12"/>
      <c r="I878" s="13">
        <v>3</v>
      </c>
      <c r="J878" s="13">
        <v>5</v>
      </c>
      <c r="K878" s="14" t="str">
        <f>HYPERLINK("http://twitter.com/download/android","Twitter for Android")</f>
        <v>Twitter for Android</v>
      </c>
      <c r="L878" s="13">
        <v>7498</v>
      </c>
      <c r="M878" s="13">
        <v>166</v>
      </c>
      <c r="N878" s="13">
        <v>128</v>
      </c>
      <c r="O878" s="15"/>
      <c r="P878" s="6">
        <v>41220.840243055558</v>
      </c>
      <c r="Q878" s="17" t="s">
        <v>3644</v>
      </c>
      <c r="R878" s="18" t="s">
        <v>3645</v>
      </c>
      <c r="S878" s="12"/>
      <c r="T878" s="12"/>
      <c r="U878" s="10" t="str">
        <f>HYPERLINK("https://pbs.twimg.com/profile_images/881547573835825153/k2ZLPVXW.jpg","View")</f>
        <v>View</v>
      </c>
    </row>
    <row r="879" spans="1:21" ht="30.6">
      <c r="A879" s="6">
        <v>43427.30950231482</v>
      </c>
      <c r="B879" s="7" t="str">
        <f>HYPERLINK("https://twitter.com/EFEnoticias","@EFEnoticias")</f>
        <v>@EFEnoticias</v>
      </c>
      <c r="C879" s="8" t="s">
        <v>3646</v>
      </c>
      <c r="D879" s="9" t="s">
        <v>3121</v>
      </c>
      <c r="E879" s="10" t="str">
        <f>HYPERLINK("https://twitter.com/EFEnoticias/status/1065853876211920896","1065853876211920896")</f>
        <v>1065853876211920896</v>
      </c>
      <c r="F879" s="11" t="s">
        <v>3122</v>
      </c>
      <c r="G879" s="12"/>
      <c r="H879" s="12"/>
      <c r="I879" s="13">
        <v>1</v>
      </c>
      <c r="J879" s="13">
        <v>5</v>
      </c>
      <c r="K879" s="14" t="str">
        <f>HYPERLINK("https://about.twitter.com/products/tweetdeck","TweetDeck")</f>
        <v>TweetDeck</v>
      </c>
      <c r="L879" s="13">
        <v>1426640</v>
      </c>
      <c r="M879" s="13">
        <v>63</v>
      </c>
      <c r="N879" s="13">
        <v>16766</v>
      </c>
      <c r="O879" s="16" t="s">
        <v>26</v>
      </c>
      <c r="P879" s="6">
        <v>40193.420092592591</v>
      </c>
      <c r="Q879" s="17" t="s">
        <v>72</v>
      </c>
      <c r="R879" s="18" t="s">
        <v>3647</v>
      </c>
      <c r="S879" s="11" t="s">
        <v>2447</v>
      </c>
      <c r="T879" s="12"/>
      <c r="U879" s="10" t="str">
        <f>HYPERLINK("https://pbs.twimg.com/profile_images/930868073464320000/r4PAby_1.jpg","View")</f>
        <v>View</v>
      </c>
    </row>
    <row r="880" spans="1:21" ht="61.2">
      <c r="A880" s="6">
        <v>43427.309108796297</v>
      </c>
      <c r="B880" s="7" t="str">
        <f>HYPERLINK("https://twitter.com/CarlosRojasB7","@CarlosRojasB7")</f>
        <v>@CarlosRojasB7</v>
      </c>
      <c r="C880" s="8" t="s">
        <v>3649</v>
      </c>
      <c r="D880" s="9" t="s">
        <v>3650</v>
      </c>
      <c r="E880" s="10" t="str">
        <f>HYPERLINK("https://twitter.com/CarlosRojasB7/status/1065853733731528704","1065853733731528704")</f>
        <v>1065853733731528704</v>
      </c>
      <c r="F880" s="12"/>
      <c r="G880" s="12"/>
      <c r="H880" s="12"/>
      <c r="I880" s="13">
        <v>0</v>
      </c>
      <c r="J880" s="13">
        <v>0</v>
      </c>
      <c r="K880" s="14" t="str">
        <f>HYPERLINK("http://www.facebook.com/twitter","Facebook")</f>
        <v>Facebook</v>
      </c>
      <c r="L880" s="13">
        <v>17</v>
      </c>
      <c r="M880" s="13">
        <v>121</v>
      </c>
      <c r="N880" s="13">
        <v>0</v>
      </c>
      <c r="O880" s="15"/>
      <c r="P880" s="6">
        <v>42613.778240740736</v>
      </c>
      <c r="Q880" s="12"/>
      <c r="R880" s="19"/>
      <c r="S880" s="12"/>
      <c r="T880" s="12"/>
      <c r="U880" s="10" t="str">
        <f>HYPERLINK("https://pbs.twimg.com/profile_images/909387237439279104/Oo3f7Udw.jpg","View")</f>
        <v>View</v>
      </c>
    </row>
    <row r="881" spans="1:21" ht="40.799999999999997">
      <c r="A881" s="6">
        <v>43427.309027777781</v>
      </c>
      <c r="B881" s="7" t="str">
        <f>HYPERLINK("https://twitter.com/20m","@20m")</f>
        <v>@20m</v>
      </c>
      <c r="C881" s="20" t="s">
        <v>3651</v>
      </c>
      <c r="D881" s="9" t="s">
        <v>3088</v>
      </c>
      <c r="E881" s="10" t="str">
        <f>HYPERLINK("https://twitter.com/20m/status/1065853703423434752","1065853703423434752")</f>
        <v>1065853703423434752</v>
      </c>
      <c r="F881" s="11" t="s">
        <v>3652</v>
      </c>
      <c r="G881" s="12"/>
      <c r="H881" s="12"/>
      <c r="I881" s="13">
        <v>3</v>
      </c>
      <c r="J881" s="13">
        <v>4</v>
      </c>
      <c r="K881" s="14" t="str">
        <f>HYPERLINK("http://dogtrack.es","DogTrack_Oficial")</f>
        <v>DogTrack_Oficial</v>
      </c>
      <c r="L881" s="13">
        <v>1353063</v>
      </c>
      <c r="M881" s="13">
        <v>51110</v>
      </c>
      <c r="N881" s="13">
        <v>14081</v>
      </c>
      <c r="O881" s="16" t="s">
        <v>26</v>
      </c>
      <c r="P881" s="6">
        <v>39917.485891203702</v>
      </c>
      <c r="Q881" s="17" t="s">
        <v>436</v>
      </c>
      <c r="R881" s="18" t="s">
        <v>3653</v>
      </c>
      <c r="S881" s="11" t="s">
        <v>3654</v>
      </c>
      <c r="T881" s="12"/>
      <c r="U881" s="10" t="str">
        <f>HYPERLINK("https://pbs.twimg.com/profile_images/1013670314285420544/gwCE6EJr.jpg","View")</f>
        <v>View</v>
      </c>
    </row>
    <row r="882" spans="1:21" ht="20.399999999999999">
      <c r="A882" s="6">
        <v>43427.30878472222</v>
      </c>
      <c r="B882" s="7" t="str">
        <f>HYPERLINK("https://twitter.com/AlfonsoRojoPD","@AlfonsoRojoPD")</f>
        <v>@AlfonsoRojoPD</v>
      </c>
      <c r="C882" s="8" t="s">
        <v>67</v>
      </c>
      <c r="D882" s="9" t="s">
        <v>2076</v>
      </c>
      <c r="E882" s="10" t="str">
        <f>HYPERLINK("https://twitter.com/AlfonsoRojoPD/status/1065853616068665344","1065853616068665344")</f>
        <v>1065853616068665344</v>
      </c>
      <c r="F882" s="11" t="s">
        <v>1841</v>
      </c>
      <c r="G882" s="12"/>
      <c r="H882" s="12"/>
      <c r="I882" s="13">
        <v>6</v>
      </c>
      <c r="J882" s="13">
        <v>4</v>
      </c>
      <c r="K882" s="14" t="str">
        <f t="shared" ref="K882:K883" si="156">HYPERLINK("http://twitter.com","Twitter Web Client")</f>
        <v>Twitter Web Client</v>
      </c>
      <c r="L882" s="13">
        <v>48930</v>
      </c>
      <c r="M882" s="13">
        <v>0</v>
      </c>
      <c r="N882" s="13">
        <v>671</v>
      </c>
      <c r="O882" s="16" t="s">
        <v>26</v>
      </c>
      <c r="P882" s="6">
        <v>41704.447048611109</v>
      </c>
      <c r="Q882" s="17" t="s">
        <v>72</v>
      </c>
      <c r="R882" s="18" t="s">
        <v>73</v>
      </c>
      <c r="S882" s="11" t="s">
        <v>74</v>
      </c>
      <c r="T882" s="12"/>
      <c r="U882" s="10" t="str">
        <f>HYPERLINK("https://pbs.twimg.com/profile_images/441511791210663936/QbI_6aXh.jpeg","View")</f>
        <v>View</v>
      </c>
    </row>
    <row r="883" spans="1:21" ht="20.399999999999999">
      <c r="A883" s="6">
        <v>43427.308425925927</v>
      </c>
      <c r="B883" s="7" t="str">
        <f>HYPERLINK("https://twitter.com/Gadabarthes","@Gadabarthes")</f>
        <v>@Gadabarthes</v>
      </c>
      <c r="C883" s="8" t="s">
        <v>3512</v>
      </c>
      <c r="D883" s="9" t="s">
        <v>3655</v>
      </c>
      <c r="E883" s="10" t="str">
        <f>HYPERLINK("https://twitter.com/Gadabarthes/status/1065853485441265664","1065853485441265664")</f>
        <v>1065853485441265664</v>
      </c>
      <c r="F883" s="11" t="s">
        <v>3656</v>
      </c>
      <c r="G883" s="12"/>
      <c r="H883" s="12"/>
      <c r="I883" s="13">
        <v>0</v>
      </c>
      <c r="J883" s="13">
        <v>0</v>
      </c>
      <c r="K883" s="14" t="str">
        <f t="shared" si="156"/>
        <v>Twitter Web Client</v>
      </c>
      <c r="L883" s="13">
        <v>10474</v>
      </c>
      <c r="M883" s="13">
        <v>9321</v>
      </c>
      <c r="N883" s="13">
        <v>109</v>
      </c>
      <c r="O883" s="15"/>
      <c r="P883" s="6">
        <v>40683.347395833334</v>
      </c>
      <c r="Q883" s="17" t="s">
        <v>3513</v>
      </c>
      <c r="R883" s="19"/>
      <c r="S883" s="12"/>
      <c r="T883" s="12"/>
      <c r="U883" s="10" t="str">
        <f>HYPERLINK("https://pbs.twimg.com/profile_images/3596394510/7b09ba6b50493db37e7255c914087a2c.jpeg","View")</f>
        <v>View</v>
      </c>
    </row>
    <row r="884" spans="1:21" ht="20.399999999999999">
      <c r="A884" s="6">
        <v>43427.308032407411</v>
      </c>
      <c r="B884" s="7" t="str">
        <f>HYPERLINK("https://twitter.com/citara58","@citara58")</f>
        <v>@citara58</v>
      </c>
      <c r="C884" s="8" t="s">
        <v>3657</v>
      </c>
      <c r="D884" s="9" t="s">
        <v>3658</v>
      </c>
      <c r="E884" s="10" t="str">
        <f>HYPERLINK("https://twitter.com/citara58/status/1065853345317994496","1065853345317994496")</f>
        <v>1065853345317994496</v>
      </c>
      <c r="F884" s="11" t="s">
        <v>607</v>
      </c>
      <c r="G884" s="12"/>
      <c r="H884" s="12"/>
      <c r="I884" s="13">
        <v>0</v>
      </c>
      <c r="J884" s="13">
        <v>0</v>
      </c>
      <c r="K884" s="14" t="str">
        <f>HYPERLINK("http://www.facebook.com/twitter","Facebook")</f>
        <v>Facebook</v>
      </c>
      <c r="L884" s="13">
        <v>24</v>
      </c>
      <c r="M884" s="13">
        <v>144</v>
      </c>
      <c r="N884" s="13">
        <v>4</v>
      </c>
      <c r="O884" s="15"/>
      <c r="P884" s="6">
        <v>40905.660000000003</v>
      </c>
      <c r="Q884" s="17" t="s">
        <v>2862</v>
      </c>
      <c r="R884" s="19"/>
      <c r="S884" s="12"/>
      <c r="T884" s="12"/>
      <c r="U884" s="16" t="s">
        <v>373</v>
      </c>
    </row>
    <row r="885" spans="1:21" ht="20.399999999999999">
      <c r="A885" s="6">
        <v>43427.307314814811</v>
      </c>
      <c r="B885" s="7" t="str">
        <f>HYPERLINK("https://twitter.com/capasam","@capasam")</f>
        <v>@capasam</v>
      </c>
      <c r="C885" s="8" t="s">
        <v>3659</v>
      </c>
      <c r="D885" s="9" t="s">
        <v>3660</v>
      </c>
      <c r="E885" s="10" t="str">
        <f>HYPERLINK("https://twitter.com/capasam/status/1065853085476683776","1065853085476683776")</f>
        <v>1065853085476683776</v>
      </c>
      <c r="F885" s="12"/>
      <c r="G885" s="12"/>
      <c r="H885" s="12"/>
      <c r="I885" s="13">
        <v>0</v>
      </c>
      <c r="J885" s="13">
        <v>0</v>
      </c>
      <c r="K885" s="14" t="str">
        <f>HYPERLINK("http://twitter.com/download/android","Twitter for Android")</f>
        <v>Twitter for Android</v>
      </c>
      <c r="L885" s="13">
        <v>33</v>
      </c>
      <c r="M885" s="13">
        <v>112</v>
      </c>
      <c r="N885" s="13">
        <v>1</v>
      </c>
      <c r="O885" s="15"/>
      <c r="P885" s="6">
        <v>40528.883414351854</v>
      </c>
      <c r="Q885" s="17" t="s">
        <v>921</v>
      </c>
      <c r="R885" s="18" t="s">
        <v>3661</v>
      </c>
      <c r="S885" s="12"/>
      <c r="T885" s="12"/>
      <c r="U885" s="10" t="str">
        <f>HYPERLINK("https://pbs.twimg.com/profile_images/724912249744330756/q2xXb4Mo.jpg","View")</f>
        <v>View</v>
      </c>
    </row>
    <row r="886" spans="1:21" ht="40.799999999999997">
      <c r="A886" s="6">
        <v>43427.307222222225</v>
      </c>
      <c r="B886" s="7" t="str">
        <f>HYPERLINK("https://twitter.com/tuasesorglobal","@tuasesorglobal")</f>
        <v>@tuasesorglobal</v>
      </c>
      <c r="C886" s="8" t="s">
        <v>3662</v>
      </c>
      <c r="D886" s="9" t="s">
        <v>3663</v>
      </c>
      <c r="E886" s="10" t="str">
        <f>HYPERLINK("https://twitter.com/tuasesorglobal/status/1065853049426640901","1065853049426640901")</f>
        <v>1065853049426640901</v>
      </c>
      <c r="F886" s="11" t="s">
        <v>3664</v>
      </c>
      <c r="G886" s="11" t="s">
        <v>3665</v>
      </c>
      <c r="H886" s="12"/>
      <c r="I886" s="13">
        <v>0</v>
      </c>
      <c r="J886" s="13">
        <v>0</v>
      </c>
      <c r="K886" s="14" t="str">
        <f>HYPERLINK("https://ifttt.com","IFTTT")</f>
        <v>IFTTT</v>
      </c>
      <c r="L886" s="13">
        <v>179</v>
      </c>
      <c r="M886" s="13">
        <v>640</v>
      </c>
      <c r="N886" s="13">
        <v>16</v>
      </c>
      <c r="O886" s="15"/>
      <c r="P886" s="6">
        <v>41540.876099537039</v>
      </c>
      <c r="Q886" s="17" t="s">
        <v>383</v>
      </c>
      <c r="R886" s="18" t="s">
        <v>3666</v>
      </c>
      <c r="S886" s="11" t="s">
        <v>3667</v>
      </c>
      <c r="T886" s="12"/>
      <c r="U886" s="10" t="str">
        <f>HYPERLINK("https://pbs.twimg.com/profile_images/1016717832929927169/ZIQX9plI.jpg","View")</f>
        <v>View</v>
      </c>
    </row>
    <row r="887" spans="1:21" ht="20.399999999999999">
      <c r="A887" s="6">
        <v>43427.305543981478</v>
      </c>
      <c r="B887" s="7" t="str">
        <f>HYPERLINK("https://twitter.com/Moncloa","@Moncloa")</f>
        <v>@Moncloa</v>
      </c>
      <c r="C887" s="8" t="s">
        <v>1487</v>
      </c>
      <c r="D887" s="9" t="s">
        <v>3668</v>
      </c>
      <c r="E887" s="10" t="str">
        <f>HYPERLINK("https://twitter.com/Moncloa/status/1065852444322611201","1065852444322611201")</f>
        <v>1065852444322611201</v>
      </c>
      <c r="F887" s="11" t="s">
        <v>3669</v>
      </c>
      <c r="G887" s="12"/>
      <c r="H887" s="12"/>
      <c r="I887" s="13">
        <v>0</v>
      </c>
      <c r="J887" s="13">
        <v>0</v>
      </c>
      <c r="K887" s="14" t="str">
        <f>HYPERLINK("http://www.gkopu.com/books","MicroContent")</f>
        <v>MicroContent</v>
      </c>
      <c r="L887" s="13">
        <v>9324</v>
      </c>
      <c r="M887" s="13">
        <v>1</v>
      </c>
      <c r="N887" s="13">
        <v>42</v>
      </c>
      <c r="O887" s="15"/>
      <c r="P887" s="6">
        <v>40723.496319444443</v>
      </c>
      <c r="Q887" s="17" t="s">
        <v>28</v>
      </c>
      <c r="R887" s="18" t="s">
        <v>1490</v>
      </c>
      <c r="S887" s="12"/>
      <c r="T887" s="12"/>
      <c r="U887" s="10" t="str">
        <f>HYPERLINK("https://pbs.twimg.com/profile_images/2272310074/v0xjmozqhpv90d675qs9.jpeg","View")</f>
        <v>View</v>
      </c>
    </row>
    <row r="888" spans="1:21" ht="71.400000000000006">
      <c r="A888" s="6">
        <v>43427.305127314816</v>
      </c>
      <c r="B888" s="7" t="str">
        <f>HYPERLINK("https://twitter.com/B_ca_es_eu","@B_ca_es_eu")</f>
        <v>@B_ca_es_eu</v>
      </c>
      <c r="C888" s="8" t="s">
        <v>2296</v>
      </c>
      <c r="D888" s="9" t="s">
        <v>3670</v>
      </c>
      <c r="E888" s="10" t="str">
        <f>HYPERLINK("https://twitter.com/B_ca_es_eu/status/1065852291301941253","1065852291301941253")</f>
        <v>1065852291301941253</v>
      </c>
      <c r="F888" s="17" t="s">
        <v>3671</v>
      </c>
      <c r="G888" s="12"/>
      <c r="H888" s="12"/>
      <c r="I888" s="13">
        <v>5</v>
      </c>
      <c r="J888" s="13">
        <v>7</v>
      </c>
      <c r="K888" s="14" t="str">
        <f>HYPERLINK("http://twitter.com/download/android","Twitter for Android")</f>
        <v>Twitter for Android</v>
      </c>
      <c r="L888" s="13">
        <v>7560</v>
      </c>
      <c r="M888" s="13">
        <v>8026</v>
      </c>
      <c r="N888" s="13">
        <v>362</v>
      </c>
      <c r="O888" s="15"/>
      <c r="P888" s="6">
        <v>40917.536597222221</v>
      </c>
      <c r="Q888" s="17" t="s">
        <v>2300</v>
      </c>
      <c r="R888" s="18" t="s">
        <v>2301</v>
      </c>
      <c r="S888" s="12"/>
      <c r="T888" s="12"/>
      <c r="U888" s="10" t="str">
        <f>HYPERLINK("https://pbs.twimg.com/profile_images/1009399356099846145/EFwdZWCf.jpg","View")</f>
        <v>View</v>
      </c>
    </row>
    <row r="889" spans="1:21" ht="40.799999999999997">
      <c r="A889" s="6">
        <v>43427.304606481484</v>
      </c>
      <c r="B889" s="7" t="str">
        <f>HYPERLINK("https://twitter.com/euronewses","@euronewses")</f>
        <v>@euronewses</v>
      </c>
      <c r="C889" s="8" t="s">
        <v>3672</v>
      </c>
      <c r="D889" s="9" t="s">
        <v>3673</v>
      </c>
      <c r="E889" s="10" t="str">
        <f>HYPERLINK("https://twitter.com/euronewses/status/1065852100637323264","1065852100637323264")</f>
        <v>1065852100637323264</v>
      </c>
      <c r="F889" s="11" t="s">
        <v>3664</v>
      </c>
      <c r="G889" s="11" t="s">
        <v>3674</v>
      </c>
      <c r="H889" s="12"/>
      <c r="I889" s="13">
        <v>3</v>
      </c>
      <c r="J889" s="13">
        <v>4</v>
      </c>
      <c r="K889" s="14" t="str">
        <f>HYPERLINK("https://www.echobox.com","Echobox Social")</f>
        <v>Echobox Social</v>
      </c>
      <c r="L889" s="13">
        <v>33706</v>
      </c>
      <c r="M889" s="13">
        <v>367</v>
      </c>
      <c r="N889" s="13">
        <v>1098</v>
      </c>
      <c r="O889" s="16" t="s">
        <v>26</v>
      </c>
      <c r="P889" s="6">
        <v>40617.71947916667</v>
      </c>
      <c r="Q889" s="17" t="s">
        <v>1684</v>
      </c>
      <c r="R889" s="18" t="s">
        <v>3675</v>
      </c>
      <c r="S889" s="11" t="s">
        <v>3676</v>
      </c>
      <c r="T889" s="12"/>
      <c r="U889" s="10" t="str">
        <f>HYPERLINK("https://pbs.twimg.com/profile_images/732666896437370880/3-BnIJat.jpg","View")</f>
        <v>View</v>
      </c>
    </row>
    <row r="890" spans="1:21" ht="20.399999999999999">
      <c r="A890" s="6">
        <v>43427.303518518514</v>
      </c>
      <c r="B890" s="7" t="str">
        <f>HYPERLINK("https://twitter.com/EP_Mundo","@EP_Mundo")</f>
        <v>@EP_Mundo</v>
      </c>
      <c r="C890" s="8" t="s">
        <v>298</v>
      </c>
      <c r="D890" s="9" t="s">
        <v>299</v>
      </c>
      <c r="E890" s="10" t="str">
        <f>HYPERLINK("https://twitter.com/EP_Mundo/status/1065851709078028288","1065851709078028288")</f>
        <v>1065851709078028288</v>
      </c>
      <c r="F890" s="11" t="s">
        <v>99</v>
      </c>
      <c r="G890" s="11" t="s">
        <v>3677</v>
      </c>
      <c r="H890" s="12"/>
      <c r="I890" s="13">
        <v>0</v>
      </c>
      <c r="J890" s="13">
        <v>0</v>
      </c>
      <c r="K890" s="14" t="str">
        <f>HYPERLINK("http://epmundo.com","Tuiteo TOP EP (2)")</f>
        <v>Tuiteo TOP EP (2)</v>
      </c>
      <c r="L890" s="13">
        <v>510632</v>
      </c>
      <c r="M890" s="13">
        <v>302207</v>
      </c>
      <c r="N890" s="13">
        <v>1367</v>
      </c>
      <c r="O890" s="15"/>
      <c r="P890" s="6">
        <v>40203.223078703704</v>
      </c>
      <c r="Q890" s="12"/>
      <c r="R890" s="18" t="s">
        <v>303</v>
      </c>
      <c r="S890" s="11" t="s">
        <v>304</v>
      </c>
      <c r="T890" s="12"/>
      <c r="U890" s="10" t="str">
        <f>HYPERLINK("https://pbs.twimg.com/profile_images/958329583778099200/87-xiuzB.jpg","View")</f>
        <v>View</v>
      </c>
    </row>
    <row r="891" spans="1:21" ht="20.399999999999999">
      <c r="A891" s="6">
        <v>43427.303206018521</v>
      </c>
      <c r="B891" s="7" t="str">
        <f>HYPERLINK("https://twitter.com/Hlr2906Hilary","@Hlr2906Hilary")</f>
        <v>@Hlr2906Hilary</v>
      </c>
      <c r="C891" s="8" t="s">
        <v>3678</v>
      </c>
      <c r="D891" s="9" t="s">
        <v>2796</v>
      </c>
      <c r="E891" s="10" t="str">
        <f>HYPERLINK("https://twitter.com/Hlr2906Hilary/status/1065851596477775873","1065851596477775873")</f>
        <v>1065851596477775873</v>
      </c>
      <c r="F891" s="11" t="s">
        <v>3679</v>
      </c>
      <c r="G891" s="12"/>
      <c r="H891" s="12"/>
      <c r="I891" s="13">
        <v>0</v>
      </c>
      <c r="J891" s="13">
        <v>0</v>
      </c>
      <c r="K891" s="14" t="str">
        <f>HYPERLINK("http://twitter.com/download/android","Twitter for Android")</f>
        <v>Twitter for Android</v>
      </c>
      <c r="L891" s="13">
        <v>2557</v>
      </c>
      <c r="M891" s="13">
        <v>1887</v>
      </c>
      <c r="N891" s="13">
        <v>35</v>
      </c>
      <c r="O891" s="15"/>
      <c r="P891" s="6">
        <v>41204.446087962962</v>
      </c>
      <c r="Q891" s="12"/>
      <c r="R891" s="18" t="s">
        <v>3680</v>
      </c>
      <c r="S891" s="12"/>
      <c r="T891" s="12"/>
      <c r="U891" s="10" t="str">
        <f>HYPERLINK("https://pbs.twimg.com/profile_images/664537843197452289/dKn-JKpJ.jpg","View")</f>
        <v>View</v>
      </c>
    </row>
    <row r="892" spans="1:21" ht="13.2">
      <c r="A892" s="6">
        <v>43427.303078703699</v>
      </c>
      <c r="B892" s="7" t="str">
        <f>HYPERLINK("https://twitter.com/will_llermo","@will_llermo")</f>
        <v>@will_llermo</v>
      </c>
      <c r="C892" s="8" t="s">
        <v>3681</v>
      </c>
      <c r="D892" s="9" t="s">
        <v>3682</v>
      </c>
      <c r="E892" s="10" t="str">
        <f>HYPERLINK("https://twitter.com/will_llermo/status/1065851550994706432","1065851550994706432")</f>
        <v>1065851550994706432</v>
      </c>
      <c r="F892" s="12"/>
      <c r="G892" s="11" t="s">
        <v>3683</v>
      </c>
      <c r="H892" s="12"/>
      <c r="I892" s="13">
        <v>0</v>
      </c>
      <c r="J892" s="13">
        <v>0</v>
      </c>
      <c r="K892" s="14" t="str">
        <f>HYPERLINK("http://twitter.com","Twitter Web Client")</f>
        <v>Twitter Web Client</v>
      </c>
      <c r="L892" s="13">
        <v>1236</v>
      </c>
      <c r="M892" s="13">
        <v>510</v>
      </c>
      <c r="N892" s="13">
        <v>53</v>
      </c>
      <c r="O892" s="15"/>
      <c r="P892" s="6">
        <v>40324.723287037035</v>
      </c>
      <c r="Q892" s="17" t="s">
        <v>141</v>
      </c>
      <c r="R892" s="18" t="s">
        <v>3684</v>
      </c>
      <c r="S892" s="11" t="s">
        <v>3685</v>
      </c>
      <c r="T892" s="12"/>
      <c r="U892" s="10" t="str">
        <f>HYPERLINK("https://pbs.twimg.com/profile_images/1050891607585804289/ZI29tVR7.jpg","View")</f>
        <v>View</v>
      </c>
    </row>
    <row r="893" spans="1:21" ht="20.399999999999999">
      <c r="A893" s="6">
        <v>43427.30296296296</v>
      </c>
      <c r="B893" s="7" t="str">
        <f>HYPERLINK("https://twitter.com/LimaNewsWeek","@LimaNewsWeek")</f>
        <v>@LimaNewsWeek</v>
      </c>
      <c r="C893" s="8" t="s">
        <v>3686</v>
      </c>
      <c r="D893" s="9" t="s">
        <v>3687</v>
      </c>
      <c r="E893" s="10" t="str">
        <f>HYPERLINK("https://twitter.com/LimaNewsWeek/status/1065851506669293568","1065851506669293568")</f>
        <v>1065851506669293568</v>
      </c>
      <c r="F893" s="11" t="s">
        <v>3688</v>
      </c>
      <c r="G893" s="11" t="s">
        <v>3689</v>
      </c>
      <c r="H893" s="12"/>
      <c r="I893" s="13">
        <v>0</v>
      </c>
      <c r="J893" s="13">
        <v>0</v>
      </c>
      <c r="K893" s="14" t="str">
        <f>HYPERLINK("https://www.hootsuite.com","Hootsuite Inc.")</f>
        <v>Hootsuite Inc.</v>
      </c>
      <c r="L893" s="13">
        <v>320</v>
      </c>
      <c r="M893" s="13">
        <v>203</v>
      </c>
      <c r="N893" s="13">
        <v>13</v>
      </c>
      <c r="O893" s="15"/>
      <c r="P893" s="6">
        <v>42487.695150462961</v>
      </c>
      <c r="Q893" s="17" t="s">
        <v>944</v>
      </c>
      <c r="R893" s="19"/>
      <c r="S893" s="12"/>
      <c r="T893" s="12"/>
      <c r="U893" s="10" t="str">
        <f>HYPERLINK("https://pbs.twimg.com/profile_images/958496533141491712/cgi53uZo.jpg","View")</f>
        <v>View</v>
      </c>
    </row>
    <row r="894" spans="1:21" ht="40.799999999999997">
      <c r="A894" s="6">
        <v>43427.302349537036</v>
      </c>
      <c r="B894" s="7" t="str">
        <f>HYPERLINK("https://twitter.com/eslamananadeFJL","@eslamananadeFJL")</f>
        <v>@eslamananadeFJL</v>
      </c>
      <c r="C894" s="8" t="s">
        <v>3690</v>
      </c>
      <c r="D894" s="9" t="s">
        <v>3691</v>
      </c>
      <c r="E894" s="10" t="str">
        <f>HYPERLINK("https://twitter.com/eslamananadeFJL/status/1065851283872059392","1065851283872059392")</f>
        <v>1065851283872059392</v>
      </c>
      <c r="F894" s="11" t="s">
        <v>1530</v>
      </c>
      <c r="G894" s="12"/>
      <c r="H894" s="12"/>
      <c r="I894" s="13">
        <v>4</v>
      </c>
      <c r="J894" s="13">
        <v>9</v>
      </c>
      <c r="K894" s="14" t="str">
        <f t="shared" ref="K894:K895" si="157">HYPERLINK("http://twitter.com","Twitter Web Client")</f>
        <v>Twitter Web Client</v>
      </c>
      <c r="L894" s="13">
        <v>68338</v>
      </c>
      <c r="M894" s="13">
        <v>1570</v>
      </c>
      <c r="N894" s="13">
        <v>657</v>
      </c>
      <c r="O894" s="16" t="s">
        <v>26</v>
      </c>
      <c r="P894" s="6">
        <v>40926.331504629634</v>
      </c>
      <c r="Q894" s="17" t="s">
        <v>3692</v>
      </c>
      <c r="R894" s="18" t="s">
        <v>3693</v>
      </c>
      <c r="S894" s="11" t="s">
        <v>3694</v>
      </c>
      <c r="T894" s="12"/>
      <c r="U894" s="10" t="str">
        <f>HYPERLINK("https://pbs.twimg.com/profile_images/2149735983/fede1.jpg","View")</f>
        <v>View</v>
      </c>
    </row>
    <row r="895" spans="1:21" ht="20.399999999999999">
      <c r="A895" s="6">
        <v>43427.297673611116</v>
      </c>
      <c r="B895" s="7" t="str">
        <f>HYPERLINK("https://twitter.com/AlfonsoRojoPD","@AlfonsoRojoPD")</f>
        <v>@AlfonsoRojoPD</v>
      </c>
      <c r="C895" s="8" t="s">
        <v>67</v>
      </c>
      <c r="D895" s="9" t="s">
        <v>43</v>
      </c>
      <c r="E895" s="10" t="str">
        <f>HYPERLINK("https://twitter.com/AlfonsoRojoPD/status/1065849590019211265","1065849590019211265")</f>
        <v>1065849590019211265</v>
      </c>
      <c r="F895" s="11" t="s">
        <v>1317</v>
      </c>
      <c r="G895" s="12"/>
      <c r="H895" s="12"/>
      <c r="I895" s="13">
        <v>4</v>
      </c>
      <c r="J895" s="13">
        <v>2</v>
      </c>
      <c r="K895" s="14" t="str">
        <f t="shared" si="157"/>
        <v>Twitter Web Client</v>
      </c>
      <c r="L895" s="13">
        <v>48930</v>
      </c>
      <c r="M895" s="13">
        <v>0</v>
      </c>
      <c r="N895" s="13">
        <v>671</v>
      </c>
      <c r="O895" s="16" t="s">
        <v>26</v>
      </c>
      <c r="P895" s="6">
        <v>41704.447048611109</v>
      </c>
      <c r="Q895" s="17" t="s">
        <v>72</v>
      </c>
      <c r="R895" s="18" t="s">
        <v>73</v>
      </c>
      <c r="S895" s="11" t="s">
        <v>74</v>
      </c>
      <c r="T895" s="12"/>
      <c r="U895" s="10" t="str">
        <f>HYPERLINK("https://pbs.twimg.com/profile_images/441511791210663936/QbI_6aXh.jpeg","View")</f>
        <v>View</v>
      </c>
    </row>
    <row r="896" spans="1:21" ht="20.399999999999999">
      <c r="A896" s="6">
        <v>43427.297164351854</v>
      </c>
      <c r="B896" s="7" t="str">
        <f>HYPERLINK("https://twitter.com/Red__Driver","@Red__Driver")</f>
        <v>@Red__Driver</v>
      </c>
      <c r="C896" s="8" t="s">
        <v>3695</v>
      </c>
      <c r="D896" s="9" t="s">
        <v>3696</v>
      </c>
      <c r="E896" s="10" t="str">
        <f>HYPERLINK("https://twitter.com/Red__Driver/status/1065849403783680002","1065849403783680002")</f>
        <v>1065849403783680002</v>
      </c>
      <c r="F896" s="11" t="s">
        <v>3697</v>
      </c>
      <c r="G896" s="12"/>
      <c r="H896" s="12"/>
      <c r="I896" s="13">
        <v>0</v>
      </c>
      <c r="J896" s="13">
        <v>0</v>
      </c>
      <c r="K896" s="14" t="str">
        <f>HYPERLINK("http://twitter.com/download/android","Twitter for Android")</f>
        <v>Twitter for Android</v>
      </c>
      <c r="L896" s="13">
        <v>354</v>
      </c>
      <c r="M896" s="13">
        <v>96</v>
      </c>
      <c r="N896" s="13">
        <v>6</v>
      </c>
      <c r="O896" s="15"/>
      <c r="P896" s="6">
        <v>41807.964074074072</v>
      </c>
      <c r="Q896" s="12"/>
      <c r="R896" s="18" t="s">
        <v>3698</v>
      </c>
      <c r="S896" s="12"/>
      <c r="T896" s="12"/>
      <c r="U896" s="10" t="str">
        <f>HYPERLINK("https://pbs.twimg.com/profile_images/881565697247150085/wqA0Jn_s.jpg","View")</f>
        <v>View</v>
      </c>
    </row>
    <row r="897" spans="1:21" ht="20.399999999999999">
      <c r="A897" s="6">
        <v>43427.296967592592</v>
      </c>
      <c r="B897" s="7" t="str">
        <f>HYPERLINK("https://twitter.com/chos1982","@chos1982")</f>
        <v>@chos1982</v>
      </c>
      <c r="C897" s="8" t="s">
        <v>3699</v>
      </c>
      <c r="D897" s="9" t="s">
        <v>3700</v>
      </c>
      <c r="E897" s="10" t="str">
        <f>HYPERLINK("https://twitter.com/chos1982/status/1065849335789879296","1065849335789879296")</f>
        <v>1065849335789879296</v>
      </c>
      <c r="F897" s="12"/>
      <c r="G897" s="11" t="s">
        <v>3701</v>
      </c>
      <c r="H897" s="12"/>
      <c r="I897" s="13">
        <v>0</v>
      </c>
      <c r="J897" s="13">
        <v>4</v>
      </c>
      <c r="K897" s="14" t="str">
        <f>HYPERLINK("http://twitter.com/#!/download/ipad","Twitter for iPad")</f>
        <v>Twitter for iPad</v>
      </c>
      <c r="L897" s="13">
        <v>1481</v>
      </c>
      <c r="M897" s="13">
        <v>471</v>
      </c>
      <c r="N897" s="13">
        <v>4</v>
      </c>
      <c r="O897" s="15"/>
      <c r="P897" s="6">
        <v>42921.912939814814</v>
      </c>
      <c r="Q897" s="17" t="s">
        <v>1202</v>
      </c>
      <c r="R897" s="18" t="s">
        <v>3702</v>
      </c>
      <c r="S897" s="11" t="s">
        <v>3703</v>
      </c>
      <c r="T897" s="12"/>
      <c r="U897" s="10" t="str">
        <f>HYPERLINK("https://pbs.twimg.com/profile_images/1030183280321200131/ZfqGNp8D.jpg","View")</f>
        <v>View</v>
      </c>
    </row>
    <row r="898" spans="1:21" ht="71.400000000000006">
      <c r="A898" s="6">
        <v>43427.295312499999</v>
      </c>
      <c r="B898" s="7" t="str">
        <f>HYPERLINK("https://twitter.com/CafesxRepublica","@CafesxRepublica")</f>
        <v>@CafesxRepublica</v>
      </c>
      <c r="C898" s="8" t="s">
        <v>3704</v>
      </c>
      <c r="D898" s="9" t="s">
        <v>3705</v>
      </c>
      <c r="E898" s="10" t="str">
        <f>HYPERLINK("https://twitter.com/CafesxRepublica/status/1065848735341658113","1065848735341658113")</f>
        <v>1065848735341658113</v>
      </c>
      <c r="F898" s="17" t="s">
        <v>3706</v>
      </c>
      <c r="G898" s="12"/>
      <c r="H898" s="12"/>
      <c r="I898" s="13">
        <v>4</v>
      </c>
      <c r="J898" s="13">
        <v>4</v>
      </c>
      <c r="K898" s="14" t="str">
        <f>HYPERLINK("http://twitter.com","Twitter Web Client")</f>
        <v>Twitter Web Client</v>
      </c>
      <c r="L898" s="13">
        <v>7825</v>
      </c>
      <c r="M898" s="13">
        <v>134</v>
      </c>
      <c r="N898" s="13">
        <v>32</v>
      </c>
      <c r="O898" s="15"/>
      <c r="P898" s="6">
        <v>43093.426307870366</v>
      </c>
      <c r="Q898" s="17" t="s">
        <v>2147</v>
      </c>
      <c r="R898" s="18" t="s">
        <v>3707</v>
      </c>
      <c r="S898" s="12"/>
      <c r="T898" s="12"/>
      <c r="U898" s="10" t="str">
        <f>HYPERLINK("https://pbs.twimg.com/profile_images/1053664513684373504/oHCxwJ9q.jpg","View")</f>
        <v>View</v>
      </c>
    </row>
    <row r="899" spans="1:21" ht="40.799999999999997">
      <c r="A899" s="6">
        <v>43427.295138888891</v>
      </c>
      <c r="B899" s="7" t="str">
        <f>HYPERLINK("https://twitter.com/20m","@20m")</f>
        <v>@20m</v>
      </c>
      <c r="C899" s="20" t="s">
        <v>3651</v>
      </c>
      <c r="D899" s="9" t="s">
        <v>2796</v>
      </c>
      <c r="E899" s="10" t="str">
        <f>HYPERLINK("https://twitter.com/20m/status/1065848671856668672","1065848671856668672")</f>
        <v>1065848671856668672</v>
      </c>
      <c r="F899" s="11" t="s">
        <v>3679</v>
      </c>
      <c r="G899" s="12"/>
      <c r="H899" s="12"/>
      <c r="I899" s="13">
        <v>3</v>
      </c>
      <c r="J899" s="13">
        <v>12</v>
      </c>
      <c r="K899" s="14" t="str">
        <f>HYPERLINK("http://dogtrack.es","DogTrack_Oficial")</f>
        <v>DogTrack_Oficial</v>
      </c>
      <c r="L899" s="13">
        <v>1353063</v>
      </c>
      <c r="M899" s="13">
        <v>51110</v>
      </c>
      <c r="N899" s="13">
        <v>14081</v>
      </c>
      <c r="O899" s="16" t="s">
        <v>26</v>
      </c>
      <c r="P899" s="6">
        <v>39917.485891203702</v>
      </c>
      <c r="Q899" s="17" t="s">
        <v>436</v>
      </c>
      <c r="R899" s="18" t="s">
        <v>3653</v>
      </c>
      <c r="S899" s="11" t="s">
        <v>3654</v>
      </c>
      <c r="T899" s="12"/>
      <c r="U899" s="10" t="str">
        <f>HYPERLINK("https://pbs.twimg.com/profile_images/1013670314285420544/gwCE6EJr.jpg","View")</f>
        <v>View</v>
      </c>
    </row>
    <row r="900" spans="1:21" ht="51">
      <c r="A900" s="6">
        <v>43427.293587962966</v>
      </c>
      <c r="B900" s="7" t="str">
        <f>HYPERLINK("https://twitter.com/2011pau","@2011pau")</f>
        <v>@2011pau</v>
      </c>
      <c r="C900" s="8" t="s">
        <v>3708</v>
      </c>
      <c r="D900" s="9" t="s">
        <v>3709</v>
      </c>
      <c r="E900" s="10" t="str">
        <f>HYPERLINK("https://twitter.com/2011pau/status/1065848108200992768","1065848108200992768")</f>
        <v>1065848108200992768</v>
      </c>
      <c r="F900" s="11" t="s">
        <v>3710</v>
      </c>
      <c r="G900" s="11" t="s">
        <v>3711</v>
      </c>
      <c r="H900" s="12"/>
      <c r="I900" s="13">
        <v>18</v>
      </c>
      <c r="J900" s="13">
        <v>19</v>
      </c>
      <c r="K900" s="14" t="str">
        <f>HYPERLINK("http://twitter.com/download/android","Twitter for Android")</f>
        <v>Twitter for Android</v>
      </c>
      <c r="L900" s="13">
        <v>2655</v>
      </c>
      <c r="M900" s="13">
        <v>1116</v>
      </c>
      <c r="N900" s="13">
        <v>35</v>
      </c>
      <c r="O900" s="15"/>
      <c r="P900" s="6">
        <v>40606.944050925929</v>
      </c>
      <c r="Q900" s="17" t="s">
        <v>3712</v>
      </c>
      <c r="R900" s="18" t="s">
        <v>3713</v>
      </c>
      <c r="S900" s="12"/>
      <c r="T900" s="12"/>
      <c r="U900" s="10" t="str">
        <f>HYPERLINK("https://pbs.twimg.com/profile_images/993219106680778752/R9FD392q.jpg","View")</f>
        <v>View</v>
      </c>
    </row>
    <row r="901" spans="1:21" ht="30.6">
      <c r="A901" s="6">
        <v>43427.293402777781</v>
      </c>
      <c r="B901" s="7" t="str">
        <f>HYPERLINK("https://twitter.com/julio_roldn","@julio_roldn")</f>
        <v>@julio_roldn</v>
      </c>
      <c r="C901" s="8" t="s">
        <v>3714</v>
      </c>
      <c r="D901" s="9" t="s">
        <v>1115</v>
      </c>
      <c r="E901" s="10" t="str">
        <f>HYPERLINK("https://twitter.com/julio_roldn/status/1065848042056835074","1065848042056835074")</f>
        <v>1065848042056835074</v>
      </c>
      <c r="F901" s="11" t="s">
        <v>1116</v>
      </c>
      <c r="G901" s="12"/>
      <c r="H901" s="12"/>
      <c r="I901" s="13">
        <v>0</v>
      </c>
      <c r="J901" s="13">
        <v>1</v>
      </c>
      <c r="K901" s="14" t="str">
        <f>HYPERLINK("http://twitter.com/download/iphone","Twitter for iPhone")</f>
        <v>Twitter for iPhone</v>
      </c>
      <c r="L901" s="13">
        <v>5835</v>
      </c>
      <c r="M901" s="13">
        <v>5885</v>
      </c>
      <c r="N901" s="13">
        <v>45</v>
      </c>
      <c r="O901" s="15"/>
      <c r="P901" s="6">
        <v>41664.937835648147</v>
      </c>
      <c r="Q901" s="17" t="s">
        <v>3715</v>
      </c>
      <c r="R901" s="18" t="s">
        <v>3716</v>
      </c>
      <c r="S901" s="11" t="s">
        <v>3717</v>
      </c>
      <c r="T901" s="12"/>
      <c r="U901" s="10" t="str">
        <f>HYPERLINK("https://pbs.twimg.com/profile_images/974373060517203968/VLRWuDF9.jpg","View")</f>
        <v>View</v>
      </c>
    </row>
    <row r="902" spans="1:21" ht="51">
      <c r="A902" s="6">
        <v>43427.288472222222</v>
      </c>
      <c r="B902" s="7" t="str">
        <f>HYPERLINK("https://twitter.com/CarlosBasabe4","@CarlosBasabe4")</f>
        <v>@CarlosBasabe4</v>
      </c>
      <c r="C902" s="8" t="s">
        <v>3718</v>
      </c>
      <c r="D902" s="9" t="s">
        <v>3719</v>
      </c>
      <c r="E902" s="10" t="str">
        <f>HYPERLINK("https://twitter.com/CarlosBasabe4/status/1065846255434256384","1065846255434256384")</f>
        <v>1065846255434256384</v>
      </c>
      <c r="F902" s="11" t="s">
        <v>3720</v>
      </c>
      <c r="G902" s="11" t="s">
        <v>3721</v>
      </c>
      <c r="H902" s="12"/>
      <c r="I902" s="13">
        <v>0</v>
      </c>
      <c r="J902" s="13">
        <v>0</v>
      </c>
      <c r="K902" s="14" t="str">
        <f>HYPERLINK("http://twitter.com/download/android","Twitter for Android")</f>
        <v>Twitter for Android</v>
      </c>
      <c r="L902" s="13">
        <v>1520</v>
      </c>
      <c r="M902" s="13">
        <v>5002</v>
      </c>
      <c r="N902" s="13">
        <v>3</v>
      </c>
      <c r="O902" s="15"/>
      <c r="P902" s="6">
        <v>43042.109201388885</v>
      </c>
      <c r="Q902" s="17" t="s">
        <v>3722</v>
      </c>
      <c r="R902" s="18" t="s">
        <v>3723</v>
      </c>
      <c r="S902" s="12"/>
      <c r="T902" s="12"/>
      <c r="U902" s="10" t="str">
        <f>HYPERLINK("https://pbs.twimg.com/profile_images/1002944252354195457/jSQJRNy2.jpg","View")</f>
        <v>View</v>
      </c>
    </row>
    <row r="903" spans="1:21" ht="20.399999999999999">
      <c r="A903" s="6">
        <v>43427.288460648153</v>
      </c>
      <c r="B903" s="7" t="str">
        <f>HYPERLINK("https://twitter.com/oswaldopaya","@oswaldopaya")</f>
        <v>@oswaldopaya</v>
      </c>
      <c r="C903" s="8" t="s">
        <v>3724</v>
      </c>
      <c r="D903" s="9" t="s">
        <v>3725</v>
      </c>
      <c r="E903" s="10" t="str">
        <f>HYPERLINK("https://twitter.com/oswaldopaya/status/1065846249545453568","1065846249545453568")</f>
        <v>1065846249545453568</v>
      </c>
      <c r="F903" s="11" t="s">
        <v>1116</v>
      </c>
      <c r="G903" s="12"/>
      <c r="H903" s="12"/>
      <c r="I903" s="13">
        <v>3</v>
      </c>
      <c r="J903" s="13">
        <v>1</v>
      </c>
      <c r="K903" s="14" t="str">
        <f>HYPERLINK("http://www.facebook.com/twitter","Facebook")</f>
        <v>Facebook</v>
      </c>
      <c r="L903" s="13">
        <v>6329</v>
      </c>
      <c r="M903" s="13">
        <v>42</v>
      </c>
      <c r="N903" s="13">
        <v>156</v>
      </c>
      <c r="O903" s="15"/>
      <c r="P903" s="6">
        <v>40106.109479166669</v>
      </c>
      <c r="Q903" s="17" t="s">
        <v>3726</v>
      </c>
      <c r="R903" s="18" t="s">
        <v>3727</v>
      </c>
      <c r="S903" s="11" t="s">
        <v>3169</v>
      </c>
      <c r="T903" s="12"/>
      <c r="U903" s="10" t="str">
        <f>HYPERLINK("https://pbs.twimg.com/profile_images/787661963962806272/10NUL30A.jpg","View")</f>
        <v>View</v>
      </c>
    </row>
    <row r="904" spans="1:21" ht="40.799999999999997">
      <c r="A904" s="6">
        <v>43427.288194444445</v>
      </c>
      <c r="B904" s="7" t="str">
        <f>HYPERLINK("https://twitter.com/20m","@20m")</f>
        <v>@20m</v>
      </c>
      <c r="C904" s="20" t="s">
        <v>3651</v>
      </c>
      <c r="D904" s="9" t="s">
        <v>1681</v>
      </c>
      <c r="E904" s="10" t="str">
        <f>HYPERLINK("https://twitter.com/20m/status/1065846155031052288","1065846155031052288")</f>
        <v>1065846155031052288</v>
      </c>
      <c r="F904" s="11" t="s">
        <v>3728</v>
      </c>
      <c r="G904" s="12"/>
      <c r="H904" s="12"/>
      <c r="I904" s="13">
        <v>1</v>
      </c>
      <c r="J904" s="13">
        <v>2</v>
      </c>
      <c r="K904" s="14" t="str">
        <f>HYPERLINK("http://dogtrack.es","DogTrack_Oficial")</f>
        <v>DogTrack_Oficial</v>
      </c>
      <c r="L904" s="13">
        <v>1353063</v>
      </c>
      <c r="M904" s="13">
        <v>51110</v>
      </c>
      <c r="N904" s="13">
        <v>14081</v>
      </c>
      <c r="O904" s="16" t="s">
        <v>26</v>
      </c>
      <c r="P904" s="6">
        <v>39917.485891203702</v>
      </c>
      <c r="Q904" s="17" t="s">
        <v>436</v>
      </c>
      <c r="R904" s="18" t="s">
        <v>3653</v>
      </c>
      <c r="S904" s="11" t="s">
        <v>3654</v>
      </c>
      <c r="T904" s="12"/>
      <c r="U904" s="10" t="str">
        <f>HYPERLINK("https://pbs.twimg.com/profile_images/1013670314285420544/gwCE6EJr.jpg","View")</f>
        <v>View</v>
      </c>
    </row>
    <row r="905" spans="1:21" ht="30.6">
      <c r="A905" s="6">
        <v>43427.287824074076</v>
      </c>
      <c r="B905" s="7" t="str">
        <f>HYPERLINK("https://twitter.com/TeresaColl1","@TeresaColl1")</f>
        <v>@TeresaColl1</v>
      </c>
      <c r="C905" s="8" t="s">
        <v>3729</v>
      </c>
      <c r="D905" s="9" t="s">
        <v>3625</v>
      </c>
      <c r="E905" s="10" t="str">
        <f>HYPERLINK("https://twitter.com/TeresaColl1/status/1065846021501145088","1065846021501145088")</f>
        <v>1065846021501145088</v>
      </c>
      <c r="F905" s="11" t="s">
        <v>3626</v>
      </c>
      <c r="G905" s="12"/>
      <c r="H905" s="12"/>
      <c r="I905" s="13">
        <v>0</v>
      </c>
      <c r="J905" s="13">
        <v>0</v>
      </c>
      <c r="K905" s="14" t="str">
        <f t="shared" ref="K905:K906" si="158">HYPERLINK("http://twitter.com/download/android","Twitter for Android")</f>
        <v>Twitter for Android</v>
      </c>
      <c r="L905" s="13">
        <v>4344</v>
      </c>
      <c r="M905" s="13">
        <v>4285</v>
      </c>
      <c r="N905" s="13">
        <v>37</v>
      </c>
      <c r="O905" s="15"/>
      <c r="P905" s="6">
        <v>41194.822488425925</v>
      </c>
      <c r="Q905" s="17" t="s">
        <v>2842</v>
      </c>
      <c r="R905" s="18" t="s">
        <v>3730</v>
      </c>
      <c r="S905" s="12"/>
      <c r="T905" s="12"/>
      <c r="U905" s="10" t="str">
        <f>HYPERLINK("https://pbs.twimg.com/profile_images/457537422218117120/Pa6k7rsP.png","View")</f>
        <v>View</v>
      </c>
    </row>
    <row r="906" spans="1:21" ht="30.6">
      <c r="A906" s="6">
        <v>43427.28706018519</v>
      </c>
      <c r="B906" s="7" t="str">
        <f>HYPERLINK("https://twitter.com/BehaveHonorably","@BehaveHonorably")</f>
        <v>@BehaveHonorably</v>
      </c>
      <c r="C906" s="8" t="s">
        <v>3731</v>
      </c>
      <c r="D906" s="9" t="s">
        <v>3732</v>
      </c>
      <c r="E906" s="10" t="str">
        <f>HYPERLINK("https://twitter.com/BehaveHonorably/status/1065845743842406400","1065845743842406400")</f>
        <v>1065845743842406400</v>
      </c>
      <c r="F906" s="17" t="s">
        <v>3733</v>
      </c>
      <c r="G906" s="12"/>
      <c r="H906" s="12"/>
      <c r="I906" s="13">
        <v>1</v>
      </c>
      <c r="J906" s="13">
        <v>0</v>
      </c>
      <c r="K906" s="14" t="str">
        <f t="shared" si="158"/>
        <v>Twitter for Android</v>
      </c>
      <c r="L906" s="13">
        <v>1461</v>
      </c>
      <c r="M906" s="13">
        <v>1780</v>
      </c>
      <c r="N906" s="13">
        <v>0</v>
      </c>
      <c r="O906" s="15"/>
      <c r="P906" s="6">
        <v>40893.58766203704</v>
      </c>
      <c r="Q906" s="17" t="s">
        <v>3734</v>
      </c>
      <c r="R906" s="18" t="s">
        <v>3735</v>
      </c>
      <c r="S906" s="12"/>
      <c r="T906" s="12"/>
      <c r="U906" s="10" t="str">
        <f>HYPERLINK("https://pbs.twimg.com/profile_images/1045740129942474752/4WwbpEuV.jpg","View")</f>
        <v>View</v>
      </c>
    </row>
    <row r="907" spans="1:21" ht="30.6">
      <c r="A907" s="6">
        <v>43427.28633101852</v>
      </c>
      <c r="B907" s="7" t="str">
        <f>HYPERLINK("https://twitter.com/Sociabilidad","@Sociabilidad")</f>
        <v>@Sociabilidad</v>
      </c>
      <c r="C907" s="8" t="s">
        <v>3736</v>
      </c>
      <c r="D907" s="9" t="s">
        <v>3737</v>
      </c>
      <c r="E907" s="10" t="str">
        <f>HYPERLINK("https://twitter.com/Sociabilidad/status/1065845480729513984","1065845480729513984")</f>
        <v>1065845480729513984</v>
      </c>
      <c r="F907" s="11" t="s">
        <v>3738</v>
      </c>
      <c r="G907" s="12"/>
      <c r="H907" s="12"/>
      <c r="I907" s="13">
        <v>0</v>
      </c>
      <c r="J907" s="13">
        <v>0</v>
      </c>
      <c r="K907" s="14" t="str">
        <f>HYPERLINK("http://tapbots.com/tweetbot","Tweetbot for iΟS")</f>
        <v>Tweetbot for iΟS</v>
      </c>
      <c r="L907" s="13">
        <v>6065</v>
      </c>
      <c r="M907" s="13">
        <v>11</v>
      </c>
      <c r="N907" s="13">
        <v>518</v>
      </c>
      <c r="O907" s="15"/>
      <c r="P907" s="6">
        <v>39905.795937499999</v>
      </c>
      <c r="Q907" s="17" t="s">
        <v>3739</v>
      </c>
      <c r="R907" s="18" t="s">
        <v>3740</v>
      </c>
      <c r="S907" s="12"/>
      <c r="T907" s="12"/>
      <c r="U907" s="10" t="str">
        <f>HYPERLINK("https://pbs.twimg.com/profile_images/939918097850535937/nHTvmMLI.jpg","View")</f>
        <v>View</v>
      </c>
    </row>
    <row r="908" spans="1:21" ht="40.799999999999997">
      <c r="A908" s="6">
        <v>43427.285925925928</v>
      </c>
      <c r="B908" s="7" t="str">
        <f>HYPERLINK("https://twitter.com/CarlosBasabe4","@CarlosBasabe4")</f>
        <v>@CarlosBasabe4</v>
      </c>
      <c r="C908" s="8" t="s">
        <v>3718</v>
      </c>
      <c r="D908" s="9" t="s">
        <v>3741</v>
      </c>
      <c r="E908" s="10" t="str">
        <f>HYPERLINK("https://twitter.com/CarlosBasabe4/status/1065845334058909696","1065845334058909696")</f>
        <v>1065845334058909696</v>
      </c>
      <c r="F908" s="11" t="s">
        <v>3742</v>
      </c>
      <c r="G908" s="11" t="s">
        <v>3743</v>
      </c>
      <c r="H908" s="12"/>
      <c r="I908" s="13">
        <v>0</v>
      </c>
      <c r="J908" s="13">
        <v>0</v>
      </c>
      <c r="K908" s="14" t="str">
        <f t="shared" ref="K908:K909" si="159">HYPERLINK("http://twitter.com/download/android","Twitter for Android")</f>
        <v>Twitter for Android</v>
      </c>
      <c r="L908" s="13">
        <v>1520</v>
      </c>
      <c r="M908" s="13">
        <v>5002</v>
      </c>
      <c r="N908" s="13">
        <v>3</v>
      </c>
      <c r="O908" s="15"/>
      <c r="P908" s="6">
        <v>43042.109201388885</v>
      </c>
      <c r="Q908" s="17" t="s">
        <v>3722</v>
      </c>
      <c r="R908" s="18" t="s">
        <v>3723</v>
      </c>
      <c r="S908" s="12"/>
      <c r="T908" s="12"/>
      <c r="U908" s="10" t="str">
        <f>HYPERLINK("https://pbs.twimg.com/profile_images/1002944252354195457/jSQJRNy2.jpg","View")</f>
        <v>View</v>
      </c>
    </row>
    <row r="909" spans="1:21" ht="40.799999999999997">
      <c r="A909" s="6">
        <v>43427.285879629635</v>
      </c>
      <c r="B909" s="7" t="str">
        <f>HYPERLINK("https://twitter.com/FulgencioBarrad","@FulgencioBarrad")</f>
        <v>@FulgencioBarrad</v>
      </c>
      <c r="C909" s="8" t="s">
        <v>3744</v>
      </c>
      <c r="D909" s="9" t="s">
        <v>3745</v>
      </c>
      <c r="E909" s="10" t="str">
        <f>HYPERLINK("https://twitter.com/FulgencioBarrad/status/1065845314999992320","1065845314999992320")</f>
        <v>1065845314999992320</v>
      </c>
      <c r="F909" s="12"/>
      <c r="G909" s="12"/>
      <c r="H909" s="12"/>
      <c r="I909" s="13">
        <v>0</v>
      </c>
      <c r="J909" s="13">
        <v>1</v>
      </c>
      <c r="K909" s="14" t="str">
        <f t="shared" si="159"/>
        <v>Twitter for Android</v>
      </c>
      <c r="L909" s="13">
        <v>1207</v>
      </c>
      <c r="M909" s="13">
        <v>1315</v>
      </c>
      <c r="N909" s="13">
        <v>23</v>
      </c>
      <c r="O909" s="15"/>
      <c r="P909" s="6">
        <v>41126.22556712963</v>
      </c>
      <c r="Q909" s="12"/>
      <c r="R909" s="18" t="s">
        <v>3746</v>
      </c>
      <c r="S909" s="12"/>
      <c r="T909" s="12"/>
      <c r="U909" s="10" t="str">
        <f>HYPERLINK("https://pbs.twimg.com/profile_images/1050588279144247297/wU74b5Sz.jpg","View")</f>
        <v>View</v>
      </c>
    </row>
    <row r="910" spans="1:21" ht="40.799999999999997">
      <c r="A910" s="6">
        <v>43427.285717592589</v>
      </c>
      <c r="B910" s="7" t="str">
        <f>HYPERLINK("https://twitter.com/MONTESQUIEU1956","@MONTESQUIEU1956")</f>
        <v>@MONTESQUIEU1956</v>
      </c>
      <c r="C910" s="8" t="s">
        <v>3747</v>
      </c>
      <c r="D910" s="9" t="s">
        <v>745</v>
      </c>
      <c r="E910" s="10" t="str">
        <f>HYPERLINK("https://twitter.com/MONTESQUIEU1956/status/1065845256804028416","1065845256804028416")</f>
        <v>1065845256804028416</v>
      </c>
      <c r="F910" s="11" t="s">
        <v>3036</v>
      </c>
      <c r="G910" s="12"/>
      <c r="H910" s="12"/>
      <c r="I910" s="13">
        <v>0</v>
      </c>
      <c r="J910" s="13">
        <v>0</v>
      </c>
      <c r="K910" s="14" t="str">
        <f>HYPERLINK("http://www.facebook.com/twitter","Facebook")</f>
        <v>Facebook</v>
      </c>
      <c r="L910" s="13">
        <v>17000</v>
      </c>
      <c r="M910" s="13">
        <v>18431</v>
      </c>
      <c r="N910" s="13">
        <v>498</v>
      </c>
      <c r="O910" s="15"/>
      <c r="P910" s="6">
        <v>40349.826168981483</v>
      </c>
      <c r="Q910" s="17" t="s">
        <v>3748</v>
      </c>
      <c r="R910" s="18" t="s">
        <v>3749</v>
      </c>
      <c r="S910" s="11" t="s">
        <v>3750</v>
      </c>
      <c r="T910" s="12"/>
      <c r="U910" s="10" t="str">
        <f>HYPERLINK("https://pbs.twimg.com/profile_images/1261600286/MONTESQUIEU.jpg","View")</f>
        <v>View</v>
      </c>
    </row>
    <row r="911" spans="1:21" ht="20.399999999999999">
      <c r="A911" s="6">
        <v>43427.285682870366</v>
      </c>
      <c r="B911" s="7" t="str">
        <f>HYPERLINK("https://twitter.com/OtrovagomasREAL","@OtrovagomasREAL")</f>
        <v>@OtrovagomasREAL</v>
      </c>
      <c r="C911" s="8" t="s">
        <v>3751</v>
      </c>
      <c r="D911" s="9" t="s">
        <v>3752</v>
      </c>
      <c r="E911" s="10" t="str">
        <f>HYPERLINK("https://twitter.com/OtrovagomasREAL/status/1065845244485341185","1065845244485341185")</f>
        <v>1065845244485341185</v>
      </c>
      <c r="F911" s="12"/>
      <c r="G911" s="12"/>
      <c r="H911" s="12"/>
      <c r="I911" s="13">
        <v>26</v>
      </c>
      <c r="J911" s="13">
        <v>42</v>
      </c>
      <c r="K911" s="14" t="str">
        <f>HYPERLINK("http://twitter.com/download/iphone","Twitter for iPhone")</f>
        <v>Twitter for iPhone</v>
      </c>
      <c r="L911" s="13">
        <v>71017</v>
      </c>
      <c r="M911" s="13">
        <v>8393</v>
      </c>
      <c r="N911" s="13">
        <v>484</v>
      </c>
      <c r="O911" s="15"/>
      <c r="P911" s="6">
        <v>40613.549386574072</v>
      </c>
      <c r="Q911" s="11" t="s">
        <v>3753</v>
      </c>
      <c r="R911" s="19"/>
      <c r="S911" s="11" t="s">
        <v>3754</v>
      </c>
      <c r="T911" s="12"/>
      <c r="U911" s="10" t="str">
        <f>HYPERLINK("https://pbs.twimg.com/profile_images/1063152816049528832/hg9Nn2QC.jpg","View")</f>
        <v>View</v>
      </c>
    </row>
    <row r="912" spans="1:21" ht="20.399999999999999">
      <c r="A912" s="6">
        <v>43427.285405092596</v>
      </c>
      <c r="B912" s="7" t="str">
        <f>HYPERLINK("https://twitter.com/Moncloa","@Moncloa")</f>
        <v>@Moncloa</v>
      </c>
      <c r="C912" s="8" t="s">
        <v>1487</v>
      </c>
      <c r="D912" s="9" t="s">
        <v>3755</v>
      </c>
      <c r="E912" s="10" t="str">
        <f>HYPERLINK("https://twitter.com/Moncloa/status/1065845146376388608","1065845146376388608")</f>
        <v>1065845146376388608</v>
      </c>
      <c r="F912" s="11" t="s">
        <v>3756</v>
      </c>
      <c r="G912" s="12"/>
      <c r="H912" s="12"/>
      <c r="I912" s="13">
        <v>0</v>
      </c>
      <c r="J912" s="13">
        <v>0</v>
      </c>
      <c r="K912" s="14" t="str">
        <f>HYPERLINK("http://www.gkopu.com/books","MicroContent")</f>
        <v>MicroContent</v>
      </c>
      <c r="L912" s="13">
        <v>9324</v>
      </c>
      <c r="M912" s="13">
        <v>1</v>
      </c>
      <c r="N912" s="13">
        <v>42</v>
      </c>
      <c r="O912" s="15"/>
      <c r="P912" s="6">
        <v>40723.496319444443</v>
      </c>
      <c r="Q912" s="17" t="s">
        <v>28</v>
      </c>
      <c r="R912" s="18" t="s">
        <v>1490</v>
      </c>
      <c r="S912" s="12"/>
      <c r="T912" s="12"/>
      <c r="U912" s="10" t="str">
        <f>HYPERLINK("https://pbs.twimg.com/profile_images/2272310074/v0xjmozqhpv90d675qs9.jpeg","View")</f>
        <v>View</v>
      </c>
    </row>
    <row r="913" spans="1:21" ht="40.799999999999997">
      <c r="A913" s="6">
        <v>43427.285405092596</v>
      </c>
      <c r="B913" s="7" t="str">
        <f>HYPERLINK("https://twitter.com/MONTESQUIEU1956","@MONTESQUIEU1956")</f>
        <v>@MONTESQUIEU1956</v>
      </c>
      <c r="C913" s="8" t="s">
        <v>3747</v>
      </c>
      <c r="D913" s="9" t="s">
        <v>1596</v>
      </c>
      <c r="E913" s="10" t="str">
        <f>HYPERLINK("https://twitter.com/MONTESQUIEU1956/status/1065845143545282560","1065845143545282560")</f>
        <v>1065845143545282560</v>
      </c>
      <c r="F913" s="11" t="s">
        <v>87</v>
      </c>
      <c r="G913" s="12"/>
      <c r="H913" s="12"/>
      <c r="I913" s="13">
        <v>0</v>
      </c>
      <c r="J913" s="13">
        <v>0</v>
      </c>
      <c r="K913" s="14" t="str">
        <f t="shared" ref="K913:K914" si="160">HYPERLINK("http://twitter.com","Twitter Web Client")</f>
        <v>Twitter Web Client</v>
      </c>
      <c r="L913" s="13">
        <v>17000</v>
      </c>
      <c r="M913" s="13">
        <v>18431</v>
      </c>
      <c r="N913" s="13">
        <v>498</v>
      </c>
      <c r="O913" s="15"/>
      <c r="P913" s="6">
        <v>40349.826168981483</v>
      </c>
      <c r="Q913" s="17" t="s">
        <v>3748</v>
      </c>
      <c r="R913" s="18" t="s">
        <v>3749</v>
      </c>
      <c r="S913" s="11" t="s">
        <v>3750</v>
      </c>
      <c r="T913" s="12"/>
      <c r="U913" s="10" t="str">
        <f>HYPERLINK("https://pbs.twimg.com/profile_images/1261600286/MONTESQUIEU.jpg","View")</f>
        <v>View</v>
      </c>
    </row>
    <row r="914" spans="1:21" ht="13.2">
      <c r="A914" s="6">
        <v>43427.284317129626</v>
      </c>
      <c r="B914" s="7" t="str">
        <f>HYPERLINK("https://twitter.com/AlfonsoRojoPD","@AlfonsoRojoPD")</f>
        <v>@AlfonsoRojoPD</v>
      </c>
      <c r="C914" s="8" t="s">
        <v>67</v>
      </c>
      <c r="D914" s="9" t="s">
        <v>3469</v>
      </c>
      <c r="E914" s="10" t="str">
        <f>HYPERLINK("https://twitter.com/AlfonsoRojoPD/status/1065844748202766336","1065844748202766336")</f>
        <v>1065844748202766336</v>
      </c>
      <c r="F914" s="11" t="s">
        <v>3470</v>
      </c>
      <c r="G914" s="12"/>
      <c r="H914" s="12"/>
      <c r="I914" s="13">
        <v>21</v>
      </c>
      <c r="J914" s="13">
        <v>23</v>
      </c>
      <c r="K914" s="14" t="str">
        <f t="shared" si="160"/>
        <v>Twitter Web Client</v>
      </c>
      <c r="L914" s="13">
        <v>48930</v>
      </c>
      <c r="M914" s="13">
        <v>0</v>
      </c>
      <c r="N914" s="13">
        <v>671</v>
      </c>
      <c r="O914" s="16" t="s">
        <v>26</v>
      </c>
      <c r="P914" s="6">
        <v>41704.447048611109</v>
      </c>
      <c r="Q914" s="17" t="s">
        <v>72</v>
      </c>
      <c r="R914" s="18" t="s">
        <v>73</v>
      </c>
      <c r="S914" s="11" t="s">
        <v>74</v>
      </c>
      <c r="T914" s="12"/>
      <c r="U914" s="10" t="str">
        <f>HYPERLINK("https://pbs.twimg.com/profile_images/441511791210663936/QbI_6aXh.jpeg","View")</f>
        <v>View</v>
      </c>
    </row>
    <row r="915" spans="1:21" ht="40.799999999999997">
      <c r="A915" s="6">
        <v>43427.284282407403</v>
      </c>
      <c r="B915" s="7" t="str">
        <f>HYPERLINK("https://twitter.com/Pepsina_Mataro","@Pepsina_Mataro")</f>
        <v>@Pepsina_Mataro</v>
      </c>
      <c r="C915" s="8" t="s">
        <v>3757</v>
      </c>
      <c r="D915" s="9" t="s">
        <v>3758</v>
      </c>
      <c r="E915" s="10" t="str">
        <f>HYPERLINK("https://twitter.com/Pepsina_Mataro/status/1065844738962669568","1065844738962669568")</f>
        <v>1065844738962669568</v>
      </c>
      <c r="F915" s="11" t="s">
        <v>3759</v>
      </c>
      <c r="G915" s="11" t="s">
        <v>3760</v>
      </c>
      <c r="H915" s="12"/>
      <c r="I915" s="13">
        <v>2</v>
      </c>
      <c r="J915" s="13">
        <v>3</v>
      </c>
      <c r="K915" s="14" t="str">
        <f>HYPERLINK("http://twitter.com/download/android","Twitter for Android")</f>
        <v>Twitter for Android</v>
      </c>
      <c r="L915" s="13">
        <v>9483</v>
      </c>
      <c r="M915" s="13">
        <v>524</v>
      </c>
      <c r="N915" s="13">
        <v>120</v>
      </c>
      <c r="O915" s="15"/>
      <c r="P915" s="6">
        <v>40247.527789351851</v>
      </c>
      <c r="Q915" s="17" t="s">
        <v>3763</v>
      </c>
      <c r="R915" s="18" t="s">
        <v>3764</v>
      </c>
      <c r="S915" s="11" t="s">
        <v>3765</v>
      </c>
      <c r="T915" s="12"/>
      <c r="U915" s="10" t="str">
        <f>HYPERLINK("https://pbs.twimg.com/profile_images/1003730106299215873/sHTpjoMo.png","View")</f>
        <v>View</v>
      </c>
    </row>
    <row r="916" spans="1:21" ht="30.6">
      <c r="A916" s="6">
        <v>43427.283530092594</v>
      </c>
      <c r="B916" s="7" t="str">
        <f>HYPERLINK("https://twitter.com/sindicato_OMEGA","@sindicato_OMEGA")</f>
        <v>@sindicato_OMEGA</v>
      </c>
      <c r="C916" s="8" t="s">
        <v>3766</v>
      </c>
      <c r="D916" s="9" t="s">
        <v>3767</v>
      </c>
      <c r="E916" s="10" t="str">
        <f>HYPERLINK("https://twitter.com/sindicato_OMEGA/status/1065844464198041605","1065844464198041605")</f>
        <v>1065844464198041605</v>
      </c>
      <c r="F916" s="11" t="s">
        <v>746</v>
      </c>
      <c r="G916" s="12"/>
      <c r="H916" s="12"/>
      <c r="I916" s="13">
        <v>0</v>
      </c>
      <c r="J916" s="13">
        <v>0</v>
      </c>
      <c r="K916" s="14" t="str">
        <f>HYPERLINK("http://twitter.com","Twitter Web Client")</f>
        <v>Twitter Web Client</v>
      </c>
      <c r="L916" s="13">
        <v>203</v>
      </c>
      <c r="M916" s="13">
        <v>0</v>
      </c>
      <c r="N916" s="13">
        <v>1</v>
      </c>
      <c r="O916" s="15"/>
      <c r="P916" s="6">
        <v>43004.984074074076</v>
      </c>
      <c r="Q916" s="17" t="s">
        <v>3768</v>
      </c>
      <c r="R916" s="18" t="s">
        <v>3769</v>
      </c>
      <c r="S916" s="11" t="s">
        <v>3770</v>
      </c>
      <c r="T916" s="12"/>
      <c r="U916" s="10" t="str">
        <f>HYPERLINK("https://pbs.twimg.com/profile_images/917015429029285888/qJpEvL4-.jpg","View")</f>
        <v>View</v>
      </c>
    </row>
    <row r="917" spans="1:21" ht="20.399999999999999">
      <c r="A917" s="6">
        <v>43427.282581018517</v>
      </c>
      <c r="B917" s="7" t="str">
        <f>HYPERLINK("https://twitter.com/Talaverano78","@Talaverano78")</f>
        <v>@Talaverano78</v>
      </c>
      <c r="C917" s="8" t="s">
        <v>3771</v>
      </c>
      <c r="D917" s="9" t="s">
        <v>3772</v>
      </c>
      <c r="E917" s="10" t="str">
        <f>HYPERLINK("https://twitter.com/Talaverano78/status/1065844120730652677","1065844120730652677")</f>
        <v>1065844120730652677</v>
      </c>
      <c r="F917" s="12"/>
      <c r="G917" s="11" t="s">
        <v>3773</v>
      </c>
      <c r="H917" s="12"/>
      <c r="I917" s="13">
        <v>28</v>
      </c>
      <c r="J917" s="13">
        <v>39</v>
      </c>
      <c r="K917" s="14" t="str">
        <f>HYPERLINK("http://twitter.com/download/android","Twitter for Android")</f>
        <v>Twitter for Android</v>
      </c>
      <c r="L917" s="13">
        <v>14064</v>
      </c>
      <c r="M917" s="13">
        <v>14108</v>
      </c>
      <c r="N917" s="13">
        <v>44</v>
      </c>
      <c r="O917" s="15"/>
      <c r="P917" s="6">
        <v>41292.52715277778</v>
      </c>
      <c r="Q917" s="17" t="s">
        <v>3774</v>
      </c>
      <c r="R917" s="18" t="s">
        <v>3775</v>
      </c>
      <c r="S917" s="12"/>
      <c r="T917" s="12"/>
      <c r="U917" s="10" t="str">
        <f>HYPERLINK("https://pbs.twimg.com/profile_images/957011405751898112/KXm0ELUV.jpg","View")</f>
        <v>View</v>
      </c>
    </row>
    <row r="918" spans="1:21" ht="30.6">
      <c r="A918" s="6">
        <v>43427.282500000001</v>
      </c>
      <c r="B918" s="7" t="str">
        <f>HYPERLINK("https://twitter.com/COPE","@COPE")</f>
        <v>@COPE</v>
      </c>
      <c r="C918" s="8" t="s">
        <v>3571</v>
      </c>
      <c r="D918" s="9" t="s">
        <v>3776</v>
      </c>
      <c r="E918" s="10" t="str">
        <f>HYPERLINK("https://twitter.com/COPE/status/1065844091546726401","1065844091546726401")</f>
        <v>1065844091546726401</v>
      </c>
      <c r="F918" s="11" t="s">
        <v>3777</v>
      </c>
      <c r="G918" s="12"/>
      <c r="H918" s="12"/>
      <c r="I918" s="13">
        <v>7</v>
      </c>
      <c r="J918" s="13">
        <v>3</v>
      </c>
      <c r="K918" s="14" t="str">
        <f>HYPERLINK("http://dogtrack.es","DogTrack_Oficial")</f>
        <v>DogTrack_Oficial</v>
      </c>
      <c r="L918" s="13">
        <v>352773</v>
      </c>
      <c r="M918" s="13">
        <v>149</v>
      </c>
      <c r="N918" s="13">
        <v>3087</v>
      </c>
      <c r="O918" s="16" t="s">
        <v>26</v>
      </c>
      <c r="P918" s="6">
        <v>39381.538321759261</v>
      </c>
      <c r="Q918" s="17" t="s">
        <v>141</v>
      </c>
      <c r="R918" s="18" t="s">
        <v>3574</v>
      </c>
      <c r="S918" s="11" t="s">
        <v>3575</v>
      </c>
      <c r="T918" s="12"/>
      <c r="U918" s="10" t="str">
        <f>HYPERLINK("https://pbs.twimg.com/profile_images/1063097716031533059/yAe1j-56.jpg","View")</f>
        <v>View</v>
      </c>
    </row>
    <row r="919" spans="1:21" ht="112.2">
      <c r="A919" s="6">
        <v>43427.280925925923</v>
      </c>
      <c r="B919" s="7" t="str">
        <f>HYPERLINK("https://twitter.com/hermanntertsch","@hermanntertsch")</f>
        <v>@hermanntertsch</v>
      </c>
      <c r="C919" s="8" t="s">
        <v>3778</v>
      </c>
      <c r="D919" s="9" t="s">
        <v>3779</v>
      </c>
      <c r="E919" s="10" t="str">
        <f>HYPERLINK("https://twitter.com/hermanntertsch/status/1065843520462835713","1065843520462835713")</f>
        <v>1065843520462835713</v>
      </c>
      <c r="F919" s="11" t="s">
        <v>3780</v>
      </c>
      <c r="G919" s="11" t="s">
        <v>3781</v>
      </c>
      <c r="H919" s="12"/>
      <c r="I919" s="13">
        <v>63</v>
      </c>
      <c r="J919" s="13">
        <v>72</v>
      </c>
      <c r="K919" s="14" t="str">
        <f>HYPERLINK("http://twitter.com/download/iphone","Twitter for iPhone")</f>
        <v>Twitter for iPhone</v>
      </c>
      <c r="L919" s="13">
        <v>126740</v>
      </c>
      <c r="M919" s="13">
        <v>3124</v>
      </c>
      <c r="N919" s="13">
        <v>2135</v>
      </c>
      <c r="O919" s="15"/>
      <c r="P919" s="6">
        <v>40599.27952546296</v>
      </c>
      <c r="Q919" s="12"/>
      <c r="R919" s="18" t="s">
        <v>3782</v>
      </c>
      <c r="S919" s="12"/>
      <c r="T919" s="12"/>
      <c r="U919" s="10" t="str">
        <f>HYPERLINK("https://pbs.twimg.com/profile_images/857488336243576833/VZ0sdsQO.jpg","View")</f>
        <v>View</v>
      </c>
    </row>
    <row r="920" spans="1:21" ht="51">
      <c r="A920" s="6">
        <v>43427.280902777777</v>
      </c>
      <c r="B920" s="7" t="str">
        <f>HYPERLINK("https://twitter.com/Karkouch3","@Karkouch3")</f>
        <v>@Karkouch3</v>
      </c>
      <c r="C920" s="8" t="s">
        <v>3783</v>
      </c>
      <c r="D920" s="9" t="s">
        <v>3784</v>
      </c>
      <c r="E920" s="10" t="str">
        <f>HYPERLINK("https://twitter.com/Karkouch3/status/1065843512594313216","1065843512594313216")</f>
        <v>1065843512594313216</v>
      </c>
      <c r="F920" s="11" t="s">
        <v>2804</v>
      </c>
      <c r="G920" s="12"/>
      <c r="H920" s="12"/>
      <c r="I920" s="13">
        <v>0</v>
      </c>
      <c r="J920" s="13">
        <v>0</v>
      </c>
      <c r="K920" s="14" t="str">
        <f t="shared" ref="K920:K921" si="161">HYPERLINK("http://twitter.com/download/android","Twitter for Android")</f>
        <v>Twitter for Android</v>
      </c>
      <c r="L920" s="13">
        <v>448</v>
      </c>
      <c r="M920" s="13">
        <v>819</v>
      </c>
      <c r="N920" s="13">
        <v>7</v>
      </c>
      <c r="O920" s="15"/>
      <c r="P920" s="6">
        <v>43004.578611111108</v>
      </c>
      <c r="Q920" s="17" t="s">
        <v>3785</v>
      </c>
      <c r="R920" s="18" t="s">
        <v>3786</v>
      </c>
      <c r="S920" s="12"/>
      <c r="T920" s="12"/>
      <c r="U920" s="10" t="str">
        <f>HYPERLINK("https://pbs.twimg.com/profile_images/913774944248573953/hResyfbv.jpg","View")</f>
        <v>View</v>
      </c>
    </row>
    <row r="921" spans="1:21" ht="30.6">
      <c r="A921" s="6">
        <v>43427.280162037037</v>
      </c>
      <c r="B921" s="7" t="str">
        <f>HYPERLINK("https://twitter.com/SilviaVMiranda","@SilviaVMiranda")</f>
        <v>@SilviaVMiranda</v>
      </c>
      <c r="C921" s="8" t="s">
        <v>3787</v>
      </c>
      <c r="D921" s="9" t="s">
        <v>3788</v>
      </c>
      <c r="E921" s="10" t="str">
        <f>HYPERLINK("https://twitter.com/SilviaVMiranda/status/1065843243487776768","1065843243487776768")</f>
        <v>1065843243487776768</v>
      </c>
      <c r="F921" s="11" t="s">
        <v>3789</v>
      </c>
      <c r="G921" s="12"/>
      <c r="H921" s="12"/>
      <c r="I921" s="13">
        <v>0</v>
      </c>
      <c r="J921" s="13">
        <v>0</v>
      </c>
      <c r="K921" s="14" t="str">
        <f t="shared" si="161"/>
        <v>Twitter for Android</v>
      </c>
      <c r="L921" s="13">
        <v>180</v>
      </c>
      <c r="M921" s="13">
        <v>76</v>
      </c>
      <c r="N921" s="13">
        <v>14</v>
      </c>
      <c r="O921" s="15"/>
      <c r="P921" s="6">
        <v>40045.636956018519</v>
      </c>
      <c r="Q921" s="17" t="s">
        <v>3790</v>
      </c>
      <c r="R921" s="18" t="s">
        <v>3791</v>
      </c>
      <c r="S921" s="11" t="s">
        <v>3792</v>
      </c>
      <c r="T921" s="12"/>
      <c r="U921" s="10" t="str">
        <f>HYPERLINK("https://pbs.twimg.com/profile_images/911630159249154049/ZdtEyUMF.jpg","View")</f>
        <v>View</v>
      </c>
    </row>
    <row r="922" spans="1:21" ht="20.399999999999999">
      <c r="A922" s="6">
        <v>43427.274108796293</v>
      </c>
      <c r="B922" s="7" t="str">
        <f>HYPERLINK("https://twitter.com/marialu38291368","@marialu38291368")</f>
        <v>@marialu38291368</v>
      </c>
      <c r="C922" s="8" t="s">
        <v>3793</v>
      </c>
      <c r="D922" s="9" t="s">
        <v>3794</v>
      </c>
      <c r="E922" s="10" t="str">
        <f>HYPERLINK("https://twitter.com/marialu38291368/status/1065841051649269760","1065841051649269760")</f>
        <v>1065841051649269760</v>
      </c>
      <c r="F922" s="12"/>
      <c r="G922" s="12"/>
      <c r="H922" s="12"/>
      <c r="I922" s="13">
        <v>0</v>
      </c>
      <c r="J922" s="13">
        <v>0</v>
      </c>
      <c r="K922" s="14" t="str">
        <f>HYPERLINK("http://twitter.com","Twitter Web Client")</f>
        <v>Twitter Web Client</v>
      </c>
      <c r="L922" s="13">
        <v>120</v>
      </c>
      <c r="M922" s="13">
        <v>108</v>
      </c>
      <c r="N922" s="13">
        <v>2</v>
      </c>
      <c r="O922" s="15"/>
      <c r="P922" s="6">
        <v>41143.158101851848</v>
      </c>
      <c r="Q922" s="17" t="s">
        <v>3795</v>
      </c>
      <c r="R922" s="18" t="s">
        <v>3796</v>
      </c>
      <c r="S922" s="12"/>
      <c r="T922" s="12"/>
      <c r="U922" s="10" t="str">
        <f>HYPERLINK("https://pbs.twimg.com/profile_images/429130039745982464/24ycD_K8.jpeg","View")</f>
        <v>View</v>
      </c>
    </row>
    <row r="923" spans="1:21" ht="51">
      <c r="A923" s="6">
        <v>43427.273981481485</v>
      </c>
      <c r="B923" s="7" t="str">
        <f>HYPERLINK("https://twitter.com/inma_ben","@inma_ben")</f>
        <v>@inma_ben</v>
      </c>
      <c r="C923" s="8" t="s">
        <v>3797</v>
      </c>
      <c r="D923" s="9" t="s">
        <v>3798</v>
      </c>
      <c r="E923" s="10" t="str">
        <f>HYPERLINK("https://twitter.com/inma_ben/status/1065841002919817216","1065841002919817216")</f>
        <v>1065841002919817216</v>
      </c>
      <c r="F923" s="11" t="s">
        <v>607</v>
      </c>
      <c r="G923" s="12"/>
      <c r="H923" s="12"/>
      <c r="I923" s="13">
        <v>8</v>
      </c>
      <c r="J923" s="13">
        <v>8</v>
      </c>
      <c r="K923" s="14" t="str">
        <f>HYPERLINK("http://twitter.com/download/android","Twitter for Android")</f>
        <v>Twitter for Android</v>
      </c>
      <c r="L923" s="13">
        <v>5146</v>
      </c>
      <c r="M923" s="13">
        <v>4544</v>
      </c>
      <c r="N923" s="13">
        <v>22</v>
      </c>
      <c r="O923" s="15"/>
      <c r="P923" s="6">
        <v>40534.712546296294</v>
      </c>
      <c r="Q923" s="12"/>
      <c r="R923" s="18" t="s">
        <v>3799</v>
      </c>
      <c r="S923" s="12"/>
      <c r="T923" s="12"/>
      <c r="U923" s="10" t="str">
        <f>HYPERLINK("https://pbs.twimg.com/profile_images/1039081249598369792/0Dg6Akmo.jpg","View")</f>
        <v>View</v>
      </c>
    </row>
    <row r="924" spans="1:21" ht="13.2">
      <c r="A924" s="6">
        <v>43427.272916666669</v>
      </c>
      <c r="B924" s="7" t="str">
        <f>HYPERLINK("https://twitter.com/sumariumcom","@sumariumcom")</f>
        <v>@sumariumcom</v>
      </c>
      <c r="C924" s="8" t="s">
        <v>1974</v>
      </c>
      <c r="D924" s="9" t="s">
        <v>3800</v>
      </c>
      <c r="E924" s="10" t="str">
        <f>HYPERLINK("https://twitter.com/sumariumcom/status/1065840618037960704","1065840618037960704")</f>
        <v>1065840618037960704</v>
      </c>
      <c r="F924" s="11" t="s">
        <v>3801</v>
      </c>
      <c r="G924" s="11" t="s">
        <v>3802</v>
      </c>
      <c r="H924" s="12"/>
      <c r="I924" s="13">
        <v>0</v>
      </c>
      <c r="J924" s="13">
        <v>0</v>
      </c>
      <c r="K924" s="14" t="str">
        <f>HYPERLINK("https://about.twitter.com/products/tweetdeck","TweetDeck")</f>
        <v>TweetDeck</v>
      </c>
      <c r="L924" s="13">
        <v>164226</v>
      </c>
      <c r="M924" s="13">
        <v>994</v>
      </c>
      <c r="N924" s="13">
        <v>1117</v>
      </c>
      <c r="O924" s="15"/>
      <c r="P924" s="6">
        <v>40977.809594907405</v>
      </c>
      <c r="Q924" s="17" t="s">
        <v>1978</v>
      </c>
      <c r="R924" s="19"/>
      <c r="S924" s="11" t="s">
        <v>1979</v>
      </c>
      <c r="T924" s="12"/>
      <c r="U924" s="10" t="str">
        <f>HYPERLINK("https://pbs.twimg.com/profile_images/1061987847874469888/mok5IDTt.jpg","View")</f>
        <v>View</v>
      </c>
    </row>
    <row r="925" spans="1:21" ht="40.799999999999997">
      <c r="A925" s="6">
        <v>43427.271226851852</v>
      </c>
      <c r="B925" s="7" t="str">
        <f>HYPERLINK("https://twitter.com/ivonnediaz2203","@ivonnediaz2203")</f>
        <v>@ivonnediaz2203</v>
      </c>
      <c r="C925" s="8" t="s">
        <v>3803</v>
      </c>
      <c r="D925" s="9" t="s">
        <v>3804</v>
      </c>
      <c r="E925" s="10" t="str">
        <f>HYPERLINK("https://twitter.com/ivonnediaz2203/status/1065840007951368192","1065840007951368192")</f>
        <v>1065840007951368192</v>
      </c>
      <c r="F925" s="11" t="s">
        <v>3805</v>
      </c>
      <c r="G925" s="12"/>
      <c r="H925" s="12"/>
      <c r="I925" s="13">
        <v>0</v>
      </c>
      <c r="J925" s="13">
        <v>0</v>
      </c>
      <c r="K925" s="14" t="str">
        <f>HYPERLINK("http://www.facebook.com/twitter","Facebook")</f>
        <v>Facebook</v>
      </c>
      <c r="L925" s="13">
        <v>519</v>
      </c>
      <c r="M925" s="13">
        <v>656</v>
      </c>
      <c r="N925" s="13">
        <v>21</v>
      </c>
      <c r="O925" s="15"/>
      <c r="P925" s="6">
        <v>41173.537499999999</v>
      </c>
      <c r="Q925" s="17" t="s">
        <v>3806</v>
      </c>
      <c r="R925" s="18" t="s">
        <v>3807</v>
      </c>
      <c r="S925" s="12"/>
      <c r="T925" s="12"/>
      <c r="U925" s="10" t="str">
        <f>HYPERLINK("https://pbs.twimg.com/profile_images/925840298793734145/Ol86_OZI.jpg","View")</f>
        <v>View</v>
      </c>
    </row>
    <row r="926" spans="1:21" ht="20.399999999999999">
      <c r="A926" s="6">
        <v>43427.270833333328</v>
      </c>
      <c r="B926" s="7" t="str">
        <f>HYPERLINK("https://twitter.com/T13","@T13")</f>
        <v>@T13</v>
      </c>
      <c r="C926" s="8" t="s">
        <v>3808</v>
      </c>
      <c r="D926" s="9" t="s">
        <v>3809</v>
      </c>
      <c r="E926" s="10" t="str">
        <f>HYPERLINK("https://twitter.com/T13/status/1065839863562416128","1065839863562416128")</f>
        <v>1065839863562416128</v>
      </c>
      <c r="F926" s="11" t="s">
        <v>3810</v>
      </c>
      <c r="G926" s="11" t="s">
        <v>3811</v>
      </c>
      <c r="H926" s="12"/>
      <c r="I926" s="13">
        <v>2</v>
      </c>
      <c r="J926" s="13">
        <v>2</v>
      </c>
      <c r="K926" s="14" t="str">
        <f>HYPERLINK("https://about.twitter.com/products/tweetdeck","TweetDeck")</f>
        <v>TweetDeck</v>
      </c>
      <c r="L926" s="13">
        <v>2909387</v>
      </c>
      <c r="M926" s="13">
        <v>109429</v>
      </c>
      <c r="N926" s="13">
        <v>7599</v>
      </c>
      <c r="O926" s="16" t="s">
        <v>26</v>
      </c>
      <c r="P926" s="6">
        <v>39889.912604166668</v>
      </c>
      <c r="Q926" s="17" t="s">
        <v>497</v>
      </c>
      <c r="R926" s="18" t="s">
        <v>3812</v>
      </c>
      <c r="S926" s="11" t="s">
        <v>3813</v>
      </c>
      <c r="T926" s="12"/>
      <c r="U926" s="10" t="str">
        <f>HYPERLINK("https://pbs.twimg.com/profile_images/931199849696870400/xJ1SLoZD.jpg","View")</f>
        <v>View</v>
      </c>
    </row>
    <row r="927" spans="1:21" ht="40.799999999999997">
      <c r="A927" s="6">
        <v>43427.269930555558</v>
      </c>
      <c r="B927" s="7" t="str">
        <f>HYPERLINK("https://twitter.com/companchitu","@companchitu")</f>
        <v>@companchitu</v>
      </c>
      <c r="C927" s="8" t="s">
        <v>3814</v>
      </c>
      <c r="D927" s="9" t="s">
        <v>3815</v>
      </c>
      <c r="E927" s="10" t="str">
        <f>HYPERLINK("https://twitter.com/companchitu/status/1065839538273230849","1065839538273230849")</f>
        <v>1065839538273230849</v>
      </c>
      <c r="F927" s="11" t="s">
        <v>3816</v>
      </c>
      <c r="G927" s="11" t="s">
        <v>2472</v>
      </c>
      <c r="H927" s="12"/>
      <c r="I927" s="13">
        <v>0</v>
      </c>
      <c r="J927" s="13">
        <v>0</v>
      </c>
      <c r="K927" s="14" t="str">
        <f>HYPERLINK("http://twitter.com/download/android","Twitter for Android")</f>
        <v>Twitter for Android</v>
      </c>
      <c r="L927" s="13">
        <v>1779</v>
      </c>
      <c r="M927" s="13">
        <v>1208</v>
      </c>
      <c r="N927" s="13">
        <v>4</v>
      </c>
      <c r="O927" s="15"/>
      <c r="P927" s="6">
        <v>42637.704618055555</v>
      </c>
      <c r="Q927" s="17" t="s">
        <v>3817</v>
      </c>
      <c r="R927" s="18" t="s">
        <v>3818</v>
      </c>
      <c r="S927" s="11" t="s">
        <v>3493</v>
      </c>
      <c r="T927" s="12"/>
      <c r="U927" s="10" t="str">
        <f>HYPERLINK("https://pbs.twimg.com/profile_images/1020541819376099328/9bHbI2n3.jpg","View")</f>
        <v>View</v>
      </c>
    </row>
    <row r="928" spans="1:21" ht="51">
      <c r="A928" s="6">
        <v>43427.268888888888</v>
      </c>
      <c r="B928" s="7" t="str">
        <f>HYPERLINK("https://twitter.com/PFyV","@PFyV")</f>
        <v>@PFyV</v>
      </c>
      <c r="C928" s="8" t="s">
        <v>3819</v>
      </c>
      <c r="D928" s="9" t="s">
        <v>3820</v>
      </c>
      <c r="E928" s="10" t="str">
        <f>HYPERLINK("https://twitter.com/PFyV/status/1065839158613196800","1065839158613196800")</f>
        <v>1065839158613196800</v>
      </c>
      <c r="F928" s="12"/>
      <c r="G928" s="11" t="s">
        <v>3821</v>
      </c>
      <c r="H928" s="12"/>
      <c r="I928" s="13">
        <v>0</v>
      </c>
      <c r="J928" s="13">
        <v>0</v>
      </c>
      <c r="K928" s="14" t="str">
        <f>HYPERLINK("http://twitter.com","Twitter Web Client")</f>
        <v>Twitter Web Client</v>
      </c>
      <c r="L928" s="13">
        <v>1271</v>
      </c>
      <c r="M928" s="13">
        <v>366</v>
      </c>
      <c r="N928" s="13">
        <v>31</v>
      </c>
      <c r="O928" s="15"/>
      <c r="P928" s="6">
        <v>41291.545011574075</v>
      </c>
      <c r="Q928" s="17" t="s">
        <v>28</v>
      </c>
      <c r="R928" s="18" t="s">
        <v>3822</v>
      </c>
      <c r="S928" s="11" t="s">
        <v>3823</v>
      </c>
      <c r="T928" s="12"/>
      <c r="U928" s="10" t="str">
        <f>HYPERLINK("https://pbs.twimg.com/profile_images/3120372834/d1b2ff0daf8ca48bf1442622e28d1250.jpeg","View")</f>
        <v>View</v>
      </c>
    </row>
    <row r="929" spans="1:21" ht="40.799999999999997">
      <c r="A929" s="6">
        <v>43427.26866898148</v>
      </c>
      <c r="B929" s="7" t="str">
        <f>HYPERLINK("https://twitter.com/CNNEE","@CNNEE")</f>
        <v>@CNNEE</v>
      </c>
      <c r="C929" s="8" t="s">
        <v>3824</v>
      </c>
      <c r="D929" s="9" t="s">
        <v>3815</v>
      </c>
      <c r="E929" s="10" t="str">
        <f>HYPERLINK("https://twitter.com/CNNEE/status/1065839080079065088","1065839080079065088")</f>
        <v>1065839080079065088</v>
      </c>
      <c r="F929" s="11" t="s">
        <v>3816</v>
      </c>
      <c r="G929" s="11" t="s">
        <v>2472</v>
      </c>
      <c r="H929" s="12"/>
      <c r="I929" s="13">
        <v>40</v>
      </c>
      <c r="J929" s="13">
        <v>57</v>
      </c>
      <c r="K929" s="14" t="str">
        <f>HYPERLINK("https://about.twitter.com/products/tweetdeck","TweetDeck")</f>
        <v>TweetDeck</v>
      </c>
      <c r="L929" s="13">
        <v>16805848</v>
      </c>
      <c r="M929" s="13">
        <v>639</v>
      </c>
      <c r="N929" s="13">
        <v>50999</v>
      </c>
      <c r="O929" s="16" t="s">
        <v>26</v>
      </c>
      <c r="P929" s="6">
        <v>39924.593599537038</v>
      </c>
      <c r="Q929" s="17" t="s">
        <v>3825</v>
      </c>
      <c r="R929" s="18" t="s">
        <v>3826</v>
      </c>
      <c r="S929" s="11" t="s">
        <v>3827</v>
      </c>
      <c r="T929" s="12"/>
      <c r="U929" s="10" t="str">
        <f>HYPERLINK("https://pbs.twimg.com/profile_images/589795319216504832/6a71ZHkx.jpg","View")</f>
        <v>View</v>
      </c>
    </row>
    <row r="930" spans="1:21" ht="20.399999999999999">
      <c r="A930" s="6">
        <v>43427.266909722224</v>
      </c>
      <c r="B930" s="7" t="str">
        <f>HYPERLINK("https://twitter.com/TurboNoticias","@TurboNoticias")</f>
        <v>@TurboNoticias</v>
      </c>
      <c r="C930" s="8" t="s">
        <v>1002</v>
      </c>
      <c r="D930" s="9" t="s">
        <v>3828</v>
      </c>
      <c r="E930" s="10" t="str">
        <f>HYPERLINK("https://twitter.com/TurboNoticias/status/1065838440967753728","1065838440967753728")</f>
        <v>1065838440967753728</v>
      </c>
      <c r="F930" s="11" t="s">
        <v>3473</v>
      </c>
      <c r="G930" s="12"/>
      <c r="H930" s="12"/>
      <c r="I930" s="13">
        <v>0</v>
      </c>
      <c r="J930" s="13">
        <v>0</v>
      </c>
      <c r="K930" s="14" t="str">
        <f>HYPERLINK("https://ifttt.com","IFTTT")</f>
        <v>IFTTT</v>
      </c>
      <c r="L930" s="13">
        <v>962</v>
      </c>
      <c r="M930" s="13">
        <v>853</v>
      </c>
      <c r="N930" s="13">
        <v>72</v>
      </c>
      <c r="O930" s="15"/>
      <c r="P930" s="6">
        <v>41374.90861111111</v>
      </c>
      <c r="Q930" s="12"/>
      <c r="R930" s="18" t="s">
        <v>1003</v>
      </c>
      <c r="S930" s="12"/>
      <c r="T930" s="12"/>
      <c r="U930" s="10" t="str">
        <f>HYPERLINK("https://pbs.twimg.com/profile_images/3503488030/f3fa72449e81ed8eb09fe5df9d6c5afe.jpeg","View")</f>
        <v>View</v>
      </c>
    </row>
    <row r="931" spans="1:21" ht="30.6">
      <c r="A931" s="6">
        <v>43427.26630787037</v>
      </c>
      <c r="B931" s="7" t="str">
        <f>HYPERLINK("https://twitter.com/Factor_Noticia","@Factor_Noticia")</f>
        <v>@Factor_Noticia</v>
      </c>
      <c r="C931" s="8" t="s">
        <v>3829</v>
      </c>
      <c r="D931" s="9" t="s">
        <v>3830</v>
      </c>
      <c r="E931" s="10" t="str">
        <f>HYPERLINK("https://twitter.com/Factor_Noticia/status/1065838221957976069","1065838221957976069")</f>
        <v>1065838221957976069</v>
      </c>
      <c r="F931" s="11" t="s">
        <v>3831</v>
      </c>
      <c r="G931" s="12"/>
      <c r="H931" s="12"/>
      <c r="I931" s="13">
        <v>0</v>
      </c>
      <c r="J931" s="13">
        <v>0</v>
      </c>
      <c r="K931" s="14" t="str">
        <f t="shared" ref="K931:K932" si="162">HYPERLINK("http://publicize.wp.com/","WordPress.com")</f>
        <v>WordPress.com</v>
      </c>
      <c r="L931" s="13">
        <v>3249</v>
      </c>
      <c r="M931" s="13">
        <v>230</v>
      </c>
      <c r="N931" s="13">
        <v>61</v>
      </c>
      <c r="O931" s="15"/>
      <c r="P931" s="6">
        <v>41165.06013888889</v>
      </c>
      <c r="Q931" s="17" t="s">
        <v>790</v>
      </c>
      <c r="R931" s="18" t="s">
        <v>3832</v>
      </c>
      <c r="S931" s="11" t="s">
        <v>3833</v>
      </c>
      <c r="T931" s="12"/>
      <c r="U931" s="10" t="str">
        <f>HYPERLINK("https://pbs.twimg.com/profile_images/828329532918620160/jRB8UV9r.jpg","View")</f>
        <v>View</v>
      </c>
    </row>
    <row r="932" spans="1:21" ht="40.799999999999997">
      <c r="A932" s="6">
        <v>43427.26626157407</v>
      </c>
      <c r="B932" s="7" t="str">
        <f>HYPERLINK("https://twitter.com/FactorNoticia","@FactorNoticia")</f>
        <v>@FactorNoticia</v>
      </c>
      <c r="C932" s="8" t="s">
        <v>3834</v>
      </c>
      <c r="D932" s="9" t="s">
        <v>3830</v>
      </c>
      <c r="E932" s="10" t="str">
        <f>HYPERLINK("https://twitter.com/FactorNoticia/status/1065838204853592067","1065838204853592067")</f>
        <v>1065838204853592067</v>
      </c>
      <c r="F932" s="11" t="s">
        <v>3831</v>
      </c>
      <c r="G932" s="12"/>
      <c r="H932" s="12"/>
      <c r="I932" s="13">
        <v>0</v>
      </c>
      <c r="J932" s="13">
        <v>0</v>
      </c>
      <c r="K932" s="14" t="str">
        <f t="shared" si="162"/>
        <v>WordPress.com</v>
      </c>
      <c r="L932" s="13">
        <v>3478</v>
      </c>
      <c r="M932" s="13">
        <v>606</v>
      </c>
      <c r="N932" s="13">
        <v>104</v>
      </c>
      <c r="O932" s="15"/>
      <c r="P932" s="6">
        <v>41389.376331018517</v>
      </c>
      <c r="Q932" s="17" t="s">
        <v>790</v>
      </c>
      <c r="R932" s="18" t="s">
        <v>3835</v>
      </c>
      <c r="S932" s="11" t="s">
        <v>3833</v>
      </c>
      <c r="T932" s="12"/>
      <c r="U932" s="10" t="str">
        <f>HYPERLINK("https://pbs.twimg.com/profile_images/828335418907062272/9PN0Gtxy.jpg","View")</f>
        <v>View</v>
      </c>
    </row>
    <row r="933" spans="1:21" ht="13.2">
      <c r="A933" s="6">
        <v>43427.265034722222</v>
      </c>
      <c r="B933" s="7" t="str">
        <f>HYPERLINK("https://twitter.com/cacahuetefeliz","@cacahuetefeliz")</f>
        <v>@cacahuetefeliz</v>
      </c>
      <c r="C933" s="8" t="s">
        <v>3836</v>
      </c>
      <c r="D933" s="9" t="s">
        <v>3828</v>
      </c>
      <c r="E933" s="10" t="str">
        <f>HYPERLINK("https://twitter.com/cacahuetefeliz/status/1065837761708654592","1065837761708654592")</f>
        <v>1065837761708654592</v>
      </c>
      <c r="F933" s="11" t="s">
        <v>3837</v>
      </c>
      <c r="G933" s="12"/>
      <c r="H933" s="12"/>
      <c r="I933" s="13">
        <v>0</v>
      </c>
      <c r="J933" s="13">
        <v>0</v>
      </c>
      <c r="K933" s="14" t="str">
        <f>HYPERLINK("https://ifttt.com","IFTTT")</f>
        <v>IFTTT</v>
      </c>
      <c r="L933" s="13">
        <v>130</v>
      </c>
      <c r="M933" s="13">
        <v>176</v>
      </c>
      <c r="N933" s="13">
        <v>34</v>
      </c>
      <c r="O933" s="15"/>
      <c r="P933" s="6">
        <v>39818.179988425924</v>
      </c>
      <c r="Q933" s="17" t="s">
        <v>72</v>
      </c>
      <c r="R933" s="19"/>
      <c r="S933" s="12"/>
      <c r="T933" s="12"/>
      <c r="U933" s="10" t="str">
        <f>HYPERLINK("https://pbs.twimg.com/profile_images/262439573/DSC_0022.png","View")</f>
        <v>View</v>
      </c>
    </row>
    <row r="934" spans="1:21" ht="30.6">
      <c r="A934" s="6">
        <v>43427.263958333337</v>
      </c>
      <c r="B934" s="7" t="str">
        <f>HYPERLINK("https://twitter.com/senor_bombin","@senor_bombin")</f>
        <v>@senor_bombin</v>
      </c>
      <c r="C934" s="8" t="s">
        <v>3838</v>
      </c>
      <c r="D934" s="9" t="s">
        <v>3828</v>
      </c>
      <c r="E934" s="10" t="str">
        <f>HYPERLINK("https://twitter.com/senor_bombin/status/1065837371437010944","1065837371437010944")</f>
        <v>1065837371437010944</v>
      </c>
      <c r="F934" s="11" t="s">
        <v>3473</v>
      </c>
      <c r="G934" s="11" t="s">
        <v>3839</v>
      </c>
      <c r="H934" s="12"/>
      <c r="I934" s="13">
        <v>0</v>
      </c>
      <c r="J934" s="13">
        <v>0</v>
      </c>
      <c r="K934" s="14" t="str">
        <f>HYPERLINK("http://twitter.com","Twitter Web Client")</f>
        <v>Twitter Web Client</v>
      </c>
      <c r="L934" s="13">
        <v>573</v>
      </c>
      <c r="M934" s="13">
        <v>802</v>
      </c>
      <c r="N934" s="13">
        <v>1</v>
      </c>
      <c r="O934" s="15"/>
      <c r="P934" s="6">
        <v>40606.719513888893</v>
      </c>
      <c r="Q934" s="17" t="s">
        <v>436</v>
      </c>
      <c r="R934" s="18" t="s">
        <v>3840</v>
      </c>
      <c r="S934" s="12"/>
      <c r="T934" s="12"/>
      <c r="U934" s="10" t="str">
        <f>HYPERLINK("https://pbs.twimg.com/profile_images/1011947359985700864/vO3wtW_J.jpg","View")</f>
        <v>View</v>
      </c>
    </row>
    <row r="935" spans="1:21" ht="30.6">
      <c r="A935" s="6">
        <v>43427.263564814813</v>
      </c>
      <c r="B935" s="7" t="str">
        <f>HYPERLINK("https://twitter.com/NaniElias60","@NaniElias60")</f>
        <v>@NaniElias60</v>
      </c>
      <c r="C935" s="8" t="s">
        <v>3841</v>
      </c>
      <c r="D935" s="9" t="s">
        <v>3842</v>
      </c>
      <c r="E935" s="10" t="str">
        <f>HYPERLINK("https://twitter.com/NaniElias60/status/1065837229443088384","1065837229443088384")</f>
        <v>1065837229443088384</v>
      </c>
      <c r="F935" s="12"/>
      <c r="G935" s="12"/>
      <c r="H935" s="12"/>
      <c r="I935" s="13">
        <v>0</v>
      </c>
      <c r="J935" s="13">
        <v>0</v>
      </c>
      <c r="K935" s="14" t="str">
        <f>HYPERLINK("http://twitter.com/download/android","Twitter for Android")</f>
        <v>Twitter for Android</v>
      </c>
      <c r="L935" s="13">
        <v>617</v>
      </c>
      <c r="M935" s="13">
        <v>1691</v>
      </c>
      <c r="N935" s="13">
        <v>5</v>
      </c>
      <c r="O935" s="15"/>
      <c r="P935" s="6">
        <v>42011.96665509259</v>
      </c>
      <c r="Q935" s="17" t="s">
        <v>887</v>
      </c>
      <c r="R935" s="19"/>
      <c r="S935" s="12"/>
      <c r="T935" s="12"/>
      <c r="U935" s="10" t="str">
        <f>HYPERLINK("https://pbs.twimg.com/profile_images/552952897458409473/PXv0bRaG.jpeg","View")</f>
        <v>View</v>
      </c>
    </row>
    <row r="936" spans="1:21" ht="81.599999999999994">
      <c r="A936" s="6">
        <v>43427.263043981482</v>
      </c>
      <c r="B936" s="7" t="str">
        <f>HYPERLINK("https://twitter.com/MariseladBayamo","@MariseladBayamo")</f>
        <v>@MariseladBayamo</v>
      </c>
      <c r="C936" s="8" t="s">
        <v>3843</v>
      </c>
      <c r="D936" s="9" t="s">
        <v>3844</v>
      </c>
      <c r="E936" s="10" t="str">
        <f>HYPERLINK("https://twitter.com/MariseladBayamo/status/1065837039571136512","1065837039571136512")</f>
        <v>1065837039571136512</v>
      </c>
      <c r="F936" s="11" t="s">
        <v>3845</v>
      </c>
      <c r="G936" s="11" t="s">
        <v>3846</v>
      </c>
      <c r="H936" s="12"/>
      <c r="I936" s="13">
        <v>0</v>
      </c>
      <c r="J936" s="13">
        <v>0</v>
      </c>
      <c r="K936" s="14" t="str">
        <f>HYPERLINK("http://twitter.com","Twitter Web Client")</f>
        <v>Twitter Web Client</v>
      </c>
      <c r="L936" s="13">
        <v>1449</v>
      </c>
      <c r="M936" s="13">
        <v>2314</v>
      </c>
      <c r="N936" s="13">
        <v>24</v>
      </c>
      <c r="O936" s="15"/>
      <c r="P936" s="6">
        <v>40444.887199074074</v>
      </c>
      <c r="Q936" s="17" t="s">
        <v>40</v>
      </c>
      <c r="R936" s="18" t="s">
        <v>3847</v>
      </c>
      <c r="S936" s="11" t="s">
        <v>3848</v>
      </c>
      <c r="T936" s="12"/>
      <c r="U936" s="10" t="str">
        <f>HYPERLINK("https://pbs.twimg.com/profile_images/428290450688974848/URX1k63Y.jpeg","View")</f>
        <v>View</v>
      </c>
    </row>
    <row r="937" spans="1:21" ht="20.399999999999999">
      <c r="A937" s="6">
        <v>43427.26295138889</v>
      </c>
      <c r="B937" s="7" t="str">
        <f>HYPERLINK("https://twitter.com/webinfotucuman","@webinfotucuman")</f>
        <v>@webinfotucuman</v>
      </c>
      <c r="C937" s="8" t="s">
        <v>3849</v>
      </c>
      <c r="D937" s="9" t="s">
        <v>3850</v>
      </c>
      <c r="E937" s="10" t="str">
        <f>HYPERLINK("https://twitter.com/webinfotucuman/status/1065837007572779009","1065837007572779009")</f>
        <v>1065837007572779009</v>
      </c>
      <c r="F937" s="11" t="s">
        <v>3851</v>
      </c>
      <c r="G937" s="12"/>
      <c r="H937" s="12"/>
      <c r="I937" s="13">
        <v>0</v>
      </c>
      <c r="J937" s="13">
        <v>0</v>
      </c>
      <c r="K937" s="14" t="str">
        <f>HYPERLINK("https://ifttt.com","IFTTT")</f>
        <v>IFTTT</v>
      </c>
      <c r="L937" s="13">
        <v>42</v>
      </c>
      <c r="M937" s="13">
        <v>90</v>
      </c>
      <c r="N937" s="13">
        <v>1</v>
      </c>
      <c r="O937" s="15"/>
      <c r="P937" s="6">
        <v>43306.98133101852</v>
      </c>
      <c r="Q937" s="17" t="s">
        <v>3852</v>
      </c>
      <c r="R937" s="18" t="s">
        <v>3853</v>
      </c>
      <c r="S937" s="11" t="s">
        <v>3854</v>
      </c>
      <c r="T937" s="12"/>
      <c r="U937" s="10" t="str">
        <f>HYPERLINK("https://pbs.twimg.com/profile_images/1026508689149190144/eNWpuDQA.jpg","View")</f>
        <v>View</v>
      </c>
    </row>
    <row r="938" spans="1:21" ht="40.799999999999997">
      <c r="A938" s="6">
        <v>43427.262291666666</v>
      </c>
      <c r="B938" s="7" t="str">
        <f>HYPERLINK("https://twitter.com/AFPTV_LATAM","@AFPTV_LATAM")</f>
        <v>@AFPTV_LATAM</v>
      </c>
      <c r="C938" s="8" t="s">
        <v>3855</v>
      </c>
      <c r="D938" s="9" t="s">
        <v>3856</v>
      </c>
      <c r="E938" s="10" t="str">
        <f>HYPERLINK("https://twitter.com/AFPTV_LATAM/status/1065836769554386944","1065836769554386944")</f>
        <v>1065836769554386944</v>
      </c>
      <c r="F938" s="11" t="s">
        <v>3857</v>
      </c>
      <c r="G938" s="11" t="s">
        <v>3858</v>
      </c>
      <c r="H938" s="12"/>
      <c r="I938" s="13">
        <v>1</v>
      </c>
      <c r="J938" s="13">
        <v>1</v>
      </c>
      <c r="K938" s="14" t="str">
        <f>HYPERLINK("https://about.twitter.com/products/tweetdeck","TweetDeck")</f>
        <v>TweetDeck</v>
      </c>
      <c r="L938" s="13">
        <v>9315</v>
      </c>
      <c r="M938" s="13">
        <v>245</v>
      </c>
      <c r="N938" s="13">
        <v>260</v>
      </c>
      <c r="O938" s="15"/>
      <c r="P938" s="6">
        <v>42293.933206018519</v>
      </c>
      <c r="Q938" s="17" t="s">
        <v>3859</v>
      </c>
      <c r="R938" s="18" t="s">
        <v>3860</v>
      </c>
      <c r="S938" s="11" t="s">
        <v>3861</v>
      </c>
      <c r="T938" s="12"/>
      <c r="U938" s="10" t="str">
        <f>HYPERLINK("https://pbs.twimg.com/profile_images/753629308707565568/9HSS0tPO.jpg","View")</f>
        <v>View</v>
      </c>
    </row>
    <row r="939" spans="1:21" ht="51">
      <c r="A939" s="6">
        <v>43427.262222222227</v>
      </c>
      <c r="B939" s="7" t="str">
        <f>HYPERLINK("https://twitter.com/LaBolsaEnAccion","@LaBolsaEnAccion")</f>
        <v>@LaBolsaEnAccion</v>
      </c>
      <c r="C939" s="8" t="s">
        <v>3862</v>
      </c>
      <c r="D939" s="9" t="s">
        <v>3863</v>
      </c>
      <c r="E939" s="10" t="str">
        <f>HYPERLINK("https://twitter.com/LaBolsaEnAccion/status/1065836743650435073","1065836743650435073")</f>
        <v>1065836743650435073</v>
      </c>
      <c r="F939" s="11" t="s">
        <v>177</v>
      </c>
      <c r="G939" s="12"/>
      <c r="H939" s="12"/>
      <c r="I939" s="13">
        <v>0</v>
      </c>
      <c r="J939" s="13">
        <v>0</v>
      </c>
      <c r="K939" s="14" t="str">
        <f>HYPERLINK("http://twitter.com","Twitter Web Client")</f>
        <v>Twitter Web Client</v>
      </c>
      <c r="L939" s="13">
        <v>1483</v>
      </c>
      <c r="M939" s="13">
        <v>303</v>
      </c>
      <c r="N939" s="13">
        <v>47</v>
      </c>
      <c r="O939" s="15"/>
      <c r="P939" s="6">
        <v>41557.383460648147</v>
      </c>
      <c r="Q939" s="17" t="s">
        <v>2053</v>
      </c>
      <c r="R939" s="18" t="s">
        <v>3864</v>
      </c>
      <c r="S939" s="11" t="s">
        <v>3865</v>
      </c>
      <c r="T939" s="12"/>
      <c r="U939" s="10" t="str">
        <f>HYPERLINK("https://pbs.twimg.com/profile_images/773082908374564864/vM8_IrNk.jpg","View")</f>
        <v>View</v>
      </c>
    </row>
    <row r="940" spans="1:21" ht="20.399999999999999">
      <c r="A940" s="6">
        <v>43427.261099537034</v>
      </c>
      <c r="B940" s="7" t="str">
        <f>HYPERLINK("https://twitter.com/Moncloa","@Moncloa")</f>
        <v>@Moncloa</v>
      </c>
      <c r="C940" s="8" t="s">
        <v>1487</v>
      </c>
      <c r="D940" s="9" t="s">
        <v>3866</v>
      </c>
      <c r="E940" s="10" t="str">
        <f>HYPERLINK("https://twitter.com/Moncloa/status/1065836337159266304","1065836337159266304")</f>
        <v>1065836337159266304</v>
      </c>
      <c r="F940" s="11" t="s">
        <v>3867</v>
      </c>
      <c r="G940" s="12"/>
      <c r="H940" s="12"/>
      <c r="I940" s="13">
        <v>0</v>
      </c>
      <c r="J940" s="13">
        <v>0</v>
      </c>
      <c r="K940" s="14" t="str">
        <f>HYPERLINK("http://www.gkopu.com/books","MicroContent")</f>
        <v>MicroContent</v>
      </c>
      <c r="L940" s="13">
        <v>9324</v>
      </c>
      <c r="M940" s="13">
        <v>1</v>
      </c>
      <c r="N940" s="13">
        <v>42</v>
      </c>
      <c r="O940" s="15"/>
      <c r="P940" s="6">
        <v>40723.496319444443</v>
      </c>
      <c r="Q940" s="17" t="s">
        <v>28</v>
      </c>
      <c r="R940" s="18" t="s">
        <v>1490</v>
      </c>
      <c r="S940" s="12"/>
      <c r="T940" s="12"/>
      <c r="U940" s="10" t="str">
        <f>HYPERLINK("https://pbs.twimg.com/profile_images/2272310074/v0xjmozqhpv90d675qs9.jpeg","View")</f>
        <v>View</v>
      </c>
    </row>
    <row r="941" spans="1:21" ht="30.6">
      <c r="A941" s="6">
        <v>43427.26048611111</v>
      </c>
      <c r="B941" s="7" t="str">
        <f>HYPERLINK("https://twitter.com/meneame_net","@meneame_net")</f>
        <v>@meneame_net</v>
      </c>
      <c r="C941" s="8" t="s">
        <v>3868</v>
      </c>
      <c r="D941" s="9" t="s">
        <v>3828</v>
      </c>
      <c r="E941" s="10" t="str">
        <f>HYPERLINK("https://twitter.com/meneame_net/status/1065836112587952128","1065836112587952128")</f>
        <v>1065836112587952128</v>
      </c>
      <c r="F941" s="11" t="s">
        <v>3869</v>
      </c>
      <c r="G941" s="11" t="s">
        <v>3870</v>
      </c>
      <c r="H941" s="12"/>
      <c r="I941" s="13">
        <v>0</v>
      </c>
      <c r="J941" s="13">
        <v>1</v>
      </c>
      <c r="K941" s="14" t="str">
        <f>HYPERLINK("http://www.meneame.net","Menéame  posts")</f>
        <v>Menéame  posts</v>
      </c>
      <c r="L941" s="13">
        <v>237427</v>
      </c>
      <c r="M941" s="13">
        <v>7</v>
      </c>
      <c r="N941" s="13">
        <v>6195</v>
      </c>
      <c r="O941" s="16" t="s">
        <v>26</v>
      </c>
      <c r="P941" s="6">
        <v>39303.565486111111</v>
      </c>
      <c r="Q941" s="17" t="s">
        <v>3871</v>
      </c>
      <c r="R941" s="18" t="s">
        <v>3872</v>
      </c>
      <c r="S941" s="11" t="s">
        <v>3873</v>
      </c>
      <c r="T941" s="12"/>
      <c r="U941" s="10" t="str">
        <f>HYPERLINK("https://pbs.twimg.com/profile_images/2612468613/71m9m2e950c578cle23n.png","View")</f>
        <v>View</v>
      </c>
    </row>
    <row r="942" spans="1:21" ht="30.6">
      <c r="A942" s="6">
        <v>43427.25854166667</v>
      </c>
      <c r="B942" s="7" t="str">
        <f>HYPERLINK("https://twitter.com/euronewsfr","@euronewsfr")</f>
        <v>@euronewsfr</v>
      </c>
      <c r="C942" s="8" t="s">
        <v>3874</v>
      </c>
      <c r="D942" s="9" t="s">
        <v>3875</v>
      </c>
      <c r="E942" s="10" t="str">
        <f>HYPERLINK("https://twitter.com/euronewsfr/status/1065835410167861248","1065835410167861248")</f>
        <v>1065835410167861248</v>
      </c>
      <c r="F942" s="11" t="s">
        <v>3876</v>
      </c>
      <c r="G942" s="11" t="s">
        <v>3877</v>
      </c>
      <c r="H942" s="12"/>
      <c r="I942" s="13">
        <v>2</v>
      </c>
      <c r="J942" s="13">
        <v>0</v>
      </c>
      <c r="K942" s="14" t="str">
        <f>HYPERLINK("https://www.echobox.com","Echobox Social")</f>
        <v>Echobox Social</v>
      </c>
      <c r="L942" s="13">
        <v>50941</v>
      </c>
      <c r="M942" s="13">
        <v>192</v>
      </c>
      <c r="N942" s="13">
        <v>866</v>
      </c>
      <c r="O942" s="16" t="s">
        <v>26</v>
      </c>
      <c r="P942" s="6">
        <v>40617.69636574074</v>
      </c>
      <c r="Q942" s="17" t="s">
        <v>3878</v>
      </c>
      <c r="R942" s="18" t="s">
        <v>3879</v>
      </c>
      <c r="S942" s="11" t="s">
        <v>3880</v>
      </c>
      <c r="T942" s="12"/>
      <c r="U942" s="10" t="str">
        <f>HYPERLINK("https://pbs.twimg.com/profile_images/732666329891799042/NlXK0PyZ.jpg","View")</f>
        <v>View</v>
      </c>
    </row>
    <row r="943" spans="1:21" ht="40.799999999999997">
      <c r="A943" s="6">
        <v>43427.258159722223</v>
      </c>
      <c r="B943" s="7" t="str">
        <f t="shared" ref="B943:B944" si="163">HYPERLINK("https://twitter.com/juanmartin_61","@juanmartin_61")</f>
        <v>@juanmartin_61</v>
      </c>
      <c r="C943" s="8" t="s">
        <v>3881</v>
      </c>
      <c r="D943" s="9" t="s">
        <v>3882</v>
      </c>
      <c r="E943" s="10" t="str">
        <f>HYPERLINK("https://twitter.com/juanmartin_61/status/1065835270543687680","1065835270543687680")</f>
        <v>1065835270543687680</v>
      </c>
      <c r="F943" s="12"/>
      <c r="G943" s="11" t="s">
        <v>3883</v>
      </c>
      <c r="H943" s="12"/>
      <c r="I943" s="13">
        <v>0</v>
      </c>
      <c r="J943" s="13">
        <v>0</v>
      </c>
      <c r="K943" s="14" t="str">
        <f t="shared" ref="K943:K944" si="164">HYPERLINK("http://twitter.com","Twitter Web Client")</f>
        <v>Twitter Web Client</v>
      </c>
      <c r="L943" s="13">
        <v>10443</v>
      </c>
      <c r="M943" s="13">
        <v>6814</v>
      </c>
      <c r="N943" s="13">
        <v>115</v>
      </c>
      <c r="O943" s="15"/>
      <c r="P943" s="6">
        <v>40806.25644675926</v>
      </c>
      <c r="Q943" s="17" t="s">
        <v>392</v>
      </c>
      <c r="R943" s="18" t="s">
        <v>3885</v>
      </c>
      <c r="S943" s="11" t="s">
        <v>3886</v>
      </c>
      <c r="T943" s="12"/>
      <c r="U943" s="10" t="str">
        <f t="shared" ref="U943:U944" si="165">HYPERLINK("https://pbs.twimg.com/profile_images/977284822975569921/841yRuZA.jpg","View")</f>
        <v>View</v>
      </c>
    </row>
    <row r="944" spans="1:21" ht="40.799999999999997">
      <c r="A944" s="6">
        <v>43427.255844907406</v>
      </c>
      <c r="B944" s="7" t="str">
        <f t="shared" si="163"/>
        <v>@juanmartin_61</v>
      </c>
      <c r="C944" s="8" t="s">
        <v>3881</v>
      </c>
      <c r="D944" s="9" t="s">
        <v>1143</v>
      </c>
      <c r="E944" s="10" t="str">
        <f>HYPERLINK("https://twitter.com/juanmartin_61/status/1065834431380930560","1065834431380930560")</f>
        <v>1065834431380930560</v>
      </c>
      <c r="F944" s="11" t="s">
        <v>3887</v>
      </c>
      <c r="G944" s="12"/>
      <c r="H944" s="12"/>
      <c r="I944" s="13">
        <v>0</v>
      </c>
      <c r="J944" s="13">
        <v>0</v>
      </c>
      <c r="K944" s="14" t="str">
        <f t="shared" si="164"/>
        <v>Twitter Web Client</v>
      </c>
      <c r="L944" s="13">
        <v>10443</v>
      </c>
      <c r="M944" s="13">
        <v>6814</v>
      </c>
      <c r="N944" s="13">
        <v>115</v>
      </c>
      <c r="O944" s="15"/>
      <c r="P944" s="6">
        <v>40806.25644675926</v>
      </c>
      <c r="Q944" s="17" t="s">
        <v>392</v>
      </c>
      <c r="R944" s="18" t="s">
        <v>3885</v>
      </c>
      <c r="S944" s="11" t="s">
        <v>3886</v>
      </c>
      <c r="T944" s="12"/>
      <c r="U944" s="10" t="str">
        <f t="shared" si="165"/>
        <v>View</v>
      </c>
    </row>
    <row r="945" spans="1:21" ht="20.399999999999999">
      <c r="A945" s="6">
        <v>43427.254895833335</v>
      </c>
      <c r="B945" s="7" t="str">
        <f>HYPERLINK("https://twitter.com/ESPAVOZ","@ESPAVOZ")</f>
        <v>@ESPAVOZ</v>
      </c>
      <c r="C945" s="8" t="s">
        <v>3888</v>
      </c>
      <c r="D945" s="9" t="s">
        <v>3889</v>
      </c>
      <c r="E945" s="10" t="str">
        <f>HYPERLINK("https://twitter.com/ESPAVOZ/status/1065834088127438849","1065834088127438849")</f>
        <v>1065834088127438849</v>
      </c>
      <c r="F945" s="11" t="s">
        <v>641</v>
      </c>
      <c r="G945" s="12"/>
      <c r="H945" s="12"/>
      <c r="I945" s="13">
        <v>0</v>
      </c>
      <c r="J945" s="13">
        <v>0</v>
      </c>
      <c r="K945" s="14" t="str">
        <f>HYPERLINK("http://twitter.com/download/android","Twitter for Android")</f>
        <v>Twitter for Android</v>
      </c>
      <c r="L945" s="13">
        <v>20</v>
      </c>
      <c r="M945" s="13">
        <v>138</v>
      </c>
      <c r="N945" s="13">
        <v>0</v>
      </c>
      <c r="O945" s="15"/>
      <c r="P945" s="6">
        <v>41226.089432870373</v>
      </c>
      <c r="Q945" s="17" t="s">
        <v>3890</v>
      </c>
      <c r="R945" s="18" t="s">
        <v>3891</v>
      </c>
      <c r="S945" s="12"/>
      <c r="T945" s="12"/>
      <c r="U945" s="10" t="str">
        <f>HYPERLINK("https://pbs.twimg.com/profile_images/2845880455/ed9fdc0ef05eb41b7d956af7f6ef066f.jpeg","View")</f>
        <v>View</v>
      </c>
    </row>
    <row r="946" spans="1:21" ht="30.6">
      <c r="A946" s="6">
        <v>43427.252592592587</v>
      </c>
      <c r="B946" s="7" t="str">
        <f>HYPERLINK("https://twitter.com/periodicovzlano","@periodicovzlano")</f>
        <v>@periodicovzlano</v>
      </c>
      <c r="C946" s="8" t="s">
        <v>97</v>
      </c>
      <c r="D946" s="9" t="s">
        <v>98</v>
      </c>
      <c r="E946" s="10" t="str">
        <f>HYPERLINK("https://twitter.com/periodicovzlano/status/1065833252777283584","1065833252777283584")</f>
        <v>1065833252777283584</v>
      </c>
      <c r="F946" s="11" t="s">
        <v>99</v>
      </c>
      <c r="G946" s="11" t="s">
        <v>3892</v>
      </c>
      <c r="H946" s="12"/>
      <c r="I946" s="13">
        <v>0</v>
      </c>
      <c r="J946" s="13">
        <v>0</v>
      </c>
      <c r="K946" s="14" t="str">
        <f>HYPERLINK("http://epmundo.com","Tuiteo TOP EP (1)")</f>
        <v>Tuiteo TOP EP (1)</v>
      </c>
      <c r="L946" s="13">
        <v>479592</v>
      </c>
      <c r="M946" s="13">
        <v>359153</v>
      </c>
      <c r="N946" s="13">
        <v>1296</v>
      </c>
      <c r="O946" s="15"/>
      <c r="P946" s="6">
        <v>40663.3512962963</v>
      </c>
      <c r="Q946" s="17" t="s">
        <v>104</v>
      </c>
      <c r="R946" s="18" t="s">
        <v>105</v>
      </c>
      <c r="S946" s="11" t="s">
        <v>106</v>
      </c>
      <c r="T946" s="12"/>
      <c r="U946" s="10" t="str">
        <f>HYPERLINK("https://pbs.twimg.com/profile_images/958328579250638849/MCz7Q8U6.jpg","View")</f>
        <v>View</v>
      </c>
    </row>
    <row r="947" spans="1:21" ht="20.399999999999999">
      <c r="A947" s="6">
        <v>43427.250023148154</v>
      </c>
      <c r="B947" s="7" t="str">
        <f>HYPERLINK("https://twitter.com/prensacuba","@prensacuba")</f>
        <v>@prensacuba</v>
      </c>
      <c r="C947" s="8" t="s">
        <v>3893</v>
      </c>
      <c r="D947" s="9" t="s">
        <v>3894</v>
      </c>
      <c r="E947" s="10" t="str">
        <f>HYPERLINK("https://twitter.com/prensacuba/status/1065832322833018880","1065832322833018880")</f>
        <v>1065832322833018880</v>
      </c>
      <c r="F947" s="11" t="s">
        <v>3895</v>
      </c>
      <c r="G947" s="12"/>
      <c r="H947" s="12"/>
      <c r="I947" s="13">
        <v>0</v>
      </c>
      <c r="J947" s="13">
        <v>0</v>
      </c>
      <c r="K947" s="14" t="str">
        <f>HYPERLINK("http://www.cubadebate.cu","Cubadebate")</f>
        <v>Cubadebate</v>
      </c>
      <c r="L947" s="13">
        <v>149118</v>
      </c>
      <c r="M947" s="13">
        <v>211</v>
      </c>
      <c r="N947" s="13">
        <v>1143</v>
      </c>
      <c r="O947" s="15"/>
      <c r="P947" s="6">
        <v>40226.853206018517</v>
      </c>
      <c r="Q947" s="17" t="s">
        <v>40</v>
      </c>
      <c r="R947" s="18" t="s">
        <v>3896</v>
      </c>
      <c r="S947" s="11" t="s">
        <v>3897</v>
      </c>
      <c r="T947" s="12"/>
      <c r="U947" s="10" t="str">
        <f>HYPERLINK("https://pbs.twimg.com/profile_images/707994523/Prensacuba.png","View")</f>
        <v>View</v>
      </c>
    </row>
    <row r="948" spans="1:21" ht="20.399999999999999">
      <c r="A948" s="6">
        <v>43427.25</v>
      </c>
      <c r="B948" s="7" t="str">
        <f>HYPERLINK("https://twitter.com/15minutosnews","@15minutosnews")</f>
        <v>@15minutosnews</v>
      </c>
      <c r="C948" s="8" t="s">
        <v>234</v>
      </c>
      <c r="D948" s="9" t="s">
        <v>235</v>
      </c>
      <c r="E948" s="10" t="str">
        <f>HYPERLINK("https://twitter.com/15minutosnews/status/1065832313274204166","1065832313274204166")</f>
        <v>1065832313274204166</v>
      </c>
      <c r="F948" s="11" t="s">
        <v>236</v>
      </c>
      <c r="G948" s="11" t="s">
        <v>237</v>
      </c>
      <c r="H948" s="12"/>
      <c r="I948" s="13">
        <v>0</v>
      </c>
      <c r="J948" s="13">
        <v>0</v>
      </c>
      <c r="K948" s="14" t="str">
        <f>HYPERLINK("https://about.twitter.com/products/tweetdeck","TweetDeck")</f>
        <v>TweetDeck</v>
      </c>
      <c r="L948" s="13">
        <v>1544</v>
      </c>
      <c r="M948" s="13">
        <v>744</v>
      </c>
      <c r="N948" s="13">
        <v>12</v>
      </c>
      <c r="O948" s="15"/>
      <c r="P948" s="6">
        <v>42672.063333333332</v>
      </c>
      <c r="Q948" s="17" t="s">
        <v>239</v>
      </c>
      <c r="R948" s="18" t="s">
        <v>240</v>
      </c>
      <c r="S948" s="11" t="s">
        <v>242</v>
      </c>
      <c r="T948" s="12"/>
      <c r="U948" s="10" t="str">
        <f>HYPERLINK("https://pbs.twimg.com/profile_images/1060246923322507266/lVxIU4HR.jpg","View")</f>
        <v>View</v>
      </c>
    </row>
    <row r="949" spans="1:21" ht="30.6">
      <c r="A949" s="6">
        <v>43427.249953703707</v>
      </c>
      <c r="B949" s="7" t="str">
        <f>HYPERLINK("https://twitter.com/correopozuelo","@correopozuelo")</f>
        <v>@correopozuelo</v>
      </c>
      <c r="C949" s="8" t="s">
        <v>3898</v>
      </c>
      <c r="D949" s="9" t="s">
        <v>3899</v>
      </c>
      <c r="E949" s="10" t="str">
        <f>HYPERLINK("https://twitter.com/correopozuelo/status/1065832296710881281","1065832296710881281")</f>
        <v>1065832296710881281</v>
      </c>
      <c r="F949" s="11" t="s">
        <v>3900</v>
      </c>
      <c r="G949" s="12"/>
      <c r="H949" s="12"/>
      <c r="I949" s="13">
        <v>0</v>
      </c>
      <c r="J949" s="13">
        <v>0</v>
      </c>
      <c r="K949" s="14" t="str">
        <f>HYPERLINK("http://publicize.wp.com/","WordPress.com")</f>
        <v>WordPress.com</v>
      </c>
      <c r="L949" s="13">
        <v>718</v>
      </c>
      <c r="M949" s="13">
        <v>89</v>
      </c>
      <c r="N949" s="13">
        <v>39</v>
      </c>
      <c r="O949" s="15"/>
      <c r="P949" s="6">
        <v>41542.496261574073</v>
      </c>
      <c r="Q949" s="17" t="s">
        <v>3901</v>
      </c>
      <c r="R949" s="18" t="s">
        <v>3902</v>
      </c>
      <c r="S949" s="11" t="s">
        <v>3903</v>
      </c>
      <c r="T949" s="12"/>
      <c r="U949" s="10" t="str">
        <f>HYPERLINK("https://pbs.twimg.com/profile_images/551026296965169153/wgbmZkBO.png","View")</f>
        <v>View</v>
      </c>
    </row>
    <row r="950" spans="1:21" ht="20.399999999999999">
      <c r="A950" s="6">
        <v>43427.242395833338</v>
      </c>
      <c r="B950" s="7" t="str">
        <f>HYPERLINK("https://twitter.com/ECEspana","@ECEspana")</f>
        <v>@ECEspana</v>
      </c>
      <c r="C950" s="8" t="s">
        <v>2268</v>
      </c>
      <c r="D950" s="9" t="s">
        <v>745</v>
      </c>
      <c r="E950" s="10" t="str">
        <f>HYPERLINK("https://twitter.com/ECEspana/status/1065829558409019392","1065829558409019392")</f>
        <v>1065829558409019392</v>
      </c>
      <c r="F950" s="11" t="s">
        <v>3904</v>
      </c>
      <c r="G950" s="12"/>
      <c r="H950" s="12"/>
      <c r="I950" s="13">
        <v>0</v>
      </c>
      <c r="J950" s="13">
        <v>0</v>
      </c>
      <c r="K950" s="14" t="str">
        <f t="shared" ref="K950:K951" si="166">HYPERLINK("https://dlvrit.com/","dlvr.it")</f>
        <v>dlvr.it</v>
      </c>
      <c r="L950" s="13">
        <v>1900</v>
      </c>
      <c r="M950" s="13">
        <v>91</v>
      </c>
      <c r="N950" s="13">
        <v>84</v>
      </c>
      <c r="O950" s="15"/>
      <c r="P950" s="6">
        <v>42291.784953703704</v>
      </c>
      <c r="Q950" s="17" t="s">
        <v>141</v>
      </c>
      <c r="R950" s="18" t="s">
        <v>2271</v>
      </c>
      <c r="S950" s="11" t="s">
        <v>2272</v>
      </c>
      <c r="T950" s="12"/>
      <c r="U950" s="10" t="str">
        <f>HYPERLINK("https://pbs.twimg.com/profile_images/831789838693183488/XYTdUPcP.jpg","View")</f>
        <v>View</v>
      </c>
    </row>
    <row r="951" spans="1:21" ht="51">
      <c r="A951" s="6">
        <v>43427.240995370375</v>
      </c>
      <c r="B951" s="7" t="str">
        <f>HYPERLINK("https://twitter.com/TotalFutbol24","@TotalFutbol24")</f>
        <v>@TotalFutbol24</v>
      </c>
      <c r="C951" s="8" t="s">
        <v>3905</v>
      </c>
      <c r="D951" s="9" t="s">
        <v>3906</v>
      </c>
      <c r="E951" s="10" t="str">
        <f>HYPERLINK("https://twitter.com/TotalFutbol24/status/1065829049899991040","1065829049899991040")</f>
        <v>1065829049899991040</v>
      </c>
      <c r="F951" s="12"/>
      <c r="G951" s="12"/>
      <c r="H951" s="12"/>
      <c r="I951" s="13">
        <v>0</v>
      </c>
      <c r="J951" s="13">
        <v>0</v>
      </c>
      <c r="K951" s="14" t="str">
        <f t="shared" si="166"/>
        <v>dlvr.it</v>
      </c>
      <c r="L951" s="13">
        <v>883</v>
      </c>
      <c r="M951" s="13">
        <v>23</v>
      </c>
      <c r="N951" s="13">
        <v>11</v>
      </c>
      <c r="O951" s="15"/>
      <c r="P951" s="6">
        <v>42506.818518518514</v>
      </c>
      <c r="Q951" s="17" t="s">
        <v>3907</v>
      </c>
      <c r="R951" s="18" t="s">
        <v>3908</v>
      </c>
      <c r="S951" s="12"/>
      <c r="T951" s="12"/>
      <c r="U951" s="10" t="str">
        <f>HYPERLINK("https://pbs.twimg.com/profile_images/732266866702311424/4mHXhyxJ.jpg","View")</f>
        <v>View</v>
      </c>
    </row>
    <row r="952" spans="1:21" ht="20.399999999999999">
      <c r="A952" s="6">
        <v>43427.240914351853</v>
      </c>
      <c r="B952" s="7" t="str">
        <f>HYPERLINK("https://twitter.com/JoseanDuran45","@JoseanDuran45")</f>
        <v>@JoseanDuran45</v>
      </c>
      <c r="C952" s="8" t="s">
        <v>3909</v>
      </c>
      <c r="D952" s="9" t="s">
        <v>2687</v>
      </c>
      <c r="E952" s="10" t="str">
        <f>HYPERLINK("https://twitter.com/JoseanDuran45/status/1065829021617930241","1065829021617930241")</f>
        <v>1065829021617930241</v>
      </c>
      <c r="F952" s="11" t="s">
        <v>746</v>
      </c>
      <c r="G952" s="12"/>
      <c r="H952" s="12"/>
      <c r="I952" s="13">
        <v>0</v>
      </c>
      <c r="J952" s="13">
        <v>0</v>
      </c>
      <c r="K952" s="14" t="str">
        <f>HYPERLINK("http://twitter.com","Twitter Web Client")</f>
        <v>Twitter Web Client</v>
      </c>
      <c r="L952" s="13">
        <v>157</v>
      </c>
      <c r="M952" s="13">
        <v>179</v>
      </c>
      <c r="N952" s="13">
        <v>4</v>
      </c>
      <c r="O952" s="15"/>
      <c r="P952" s="6">
        <v>42327.814120370371</v>
      </c>
      <c r="Q952" s="12"/>
      <c r="R952" s="19"/>
      <c r="S952" s="12"/>
      <c r="T952" s="12"/>
      <c r="U952" s="10" t="str">
        <f>HYPERLINK("https://pbs.twimg.com/profile_images/667412235568959488/hCT9XWvM.jpg","View")</f>
        <v>View</v>
      </c>
    </row>
    <row r="953" spans="1:21" ht="20.399999999999999">
      <c r="A953" s="6">
        <v>43427.236747685187</v>
      </c>
      <c r="B953" s="7" t="str">
        <f>HYPERLINK("https://twitter.com/YadisneyG","@YadisneyG")</f>
        <v>@YadisneyG</v>
      </c>
      <c r="C953" s="8" t="s">
        <v>3910</v>
      </c>
      <c r="D953" s="9" t="s">
        <v>3911</v>
      </c>
      <c r="E953" s="10" t="str">
        <f>HYPERLINK("https://twitter.com/YadisneyG/status/1065827512163463168","1065827512163463168")</f>
        <v>1065827512163463168</v>
      </c>
      <c r="F953" s="11" t="s">
        <v>3912</v>
      </c>
      <c r="G953" s="12"/>
      <c r="H953" s="12"/>
      <c r="I953" s="13">
        <v>1</v>
      </c>
      <c r="J953" s="13">
        <v>1</v>
      </c>
      <c r="K953" s="14" t="str">
        <f>HYPERLINK("http://www.facebook.com/twitter","Facebook")</f>
        <v>Facebook</v>
      </c>
      <c r="L953" s="13">
        <v>172</v>
      </c>
      <c r="M953" s="13">
        <v>129</v>
      </c>
      <c r="N953" s="13">
        <v>4</v>
      </c>
      <c r="O953" s="15"/>
      <c r="P953" s="6">
        <v>41159.859328703707</v>
      </c>
      <c r="Q953" s="12"/>
      <c r="R953" s="18" t="s">
        <v>3913</v>
      </c>
      <c r="S953" s="12"/>
      <c r="T953" s="12"/>
      <c r="U953" s="10" t="str">
        <f>HYPERLINK("https://pbs.twimg.com/profile_images/1021772213945593857/OZF4NGn3.jpg","View")</f>
        <v>View</v>
      </c>
    </row>
    <row r="954" spans="1:21" ht="13.2">
      <c r="A954" s="6">
        <v>43427.23574074074</v>
      </c>
      <c r="B954" s="7" t="str">
        <f>HYPERLINK("https://twitter.com/layetano10","@layetano10")</f>
        <v>@layetano10</v>
      </c>
      <c r="C954" s="8" t="s">
        <v>3914</v>
      </c>
      <c r="D954" s="9" t="s">
        <v>2295</v>
      </c>
      <c r="E954" s="10" t="str">
        <f>HYPERLINK("https://twitter.com/layetano10/status/1065827147267416064","1065827147267416064")</f>
        <v>1065827147267416064</v>
      </c>
      <c r="F954" s="11" t="s">
        <v>1820</v>
      </c>
      <c r="G954" s="12"/>
      <c r="H954" s="12"/>
      <c r="I954" s="13">
        <v>0</v>
      </c>
      <c r="J954" s="13">
        <v>0</v>
      </c>
      <c r="K954" s="14" t="str">
        <f t="shared" ref="K954:K955" si="167">HYPERLINK("http://twitter.com","Twitter Web Client")</f>
        <v>Twitter Web Client</v>
      </c>
      <c r="L954" s="13">
        <v>5588</v>
      </c>
      <c r="M954" s="13">
        <v>5184</v>
      </c>
      <c r="N954" s="13">
        <v>64</v>
      </c>
      <c r="O954" s="15"/>
      <c r="P954" s="6">
        <v>41562.348298611112</v>
      </c>
      <c r="Q954" s="12"/>
      <c r="R954" s="18" t="s">
        <v>3915</v>
      </c>
      <c r="S954" s="12"/>
      <c r="T954" s="12"/>
      <c r="U954" s="10" t="str">
        <f>HYPERLINK("https://pbs.twimg.com/profile_images/958775885833916421/YFnBZ6ci.jpg","View")</f>
        <v>View</v>
      </c>
    </row>
    <row r="955" spans="1:21" ht="40.799999999999997">
      <c r="A955" s="6">
        <v>43427.232731481483</v>
      </c>
      <c r="B955" s="7" t="str">
        <f>HYPERLINK("https://twitter.com/Hepatia77","@Hepatia77")</f>
        <v>@Hepatia77</v>
      </c>
      <c r="C955" s="8" t="s">
        <v>3916</v>
      </c>
      <c r="D955" s="9" t="s">
        <v>1775</v>
      </c>
      <c r="E955" s="10" t="str">
        <f>HYPERLINK("https://twitter.com/Hepatia77/status/1065826054760267776","1065826054760267776")</f>
        <v>1065826054760267776</v>
      </c>
      <c r="F955" s="11" t="s">
        <v>1776</v>
      </c>
      <c r="G955" s="12"/>
      <c r="H955" s="12"/>
      <c r="I955" s="13">
        <v>4</v>
      </c>
      <c r="J955" s="13">
        <v>3</v>
      </c>
      <c r="K955" s="14" t="str">
        <f t="shared" si="167"/>
        <v>Twitter Web Client</v>
      </c>
      <c r="L955" s="13">
        <v>991</v>
      </c>
      <c r="M955" s="13">
        <v>1210</v>
      </c>
      <c r="N955" s="13">
        <v>16</v>
      </c>
      <c r="O955" s="15"/>
      <c r="P955" s="6">
        <v>41572.802534722221</v>
      </c>
      <c r="Q955" s="12"/>
      <c r="R955" s="18" t="s">
        <v>3917</v>
      </c>
      <c r="S955" s="12"/>
      <c r="T955" s="12"/>
      <c r="U955" s="10" t="str">
        <f>HYPERLINK("https://pbs.twimg.com/profile_images/752064979914858496/XH8QFNWI.jpg","View")</f>
        <v>View</v>
      </c>
    </row>
    <row r="956" spans="1:21" ht="40.799999999999997">
      <c r="A956" s="6">
        <v>43427.231851851851</v>
      </c>
      <c r="B956" s="7" t="str">
        <f>HYPERLINK("https://twitter.com/noticiasmadrid","@noticiasmadrid")</f>
        <v>@noticiasmadrid</v>
      </c>
      <c r="C956" s="8" t="s">
        <v>3918</v>
      </c>
      <c r="D956" s="9" t="s">
        <v>3919</v>
      </c>
      <c r="E956" s="10" t="str">
        <f>HYPERLINK("https://twitter.com/noticiasmadrid/status/1065825737100414976","1065825737100414976")</f>
        <v>1065825737100414976</v>
      </c>
      <c r="F956" s="11" t="s">
        <v>3920</v>
      </c>
      <c r="G956" s="12"/>
      <c r="H956" s="12"/>
      <c r="I956" s="13">
        <v>0</v>
      </c>
      <c r="J956" s="13">
        <v>0</v>
      </c>
      <c r="K956" s="14" t="str">
        <f t="shared" ref="K956:K957" si="168">HYPERLINK("https://ifttt.com","IFTTT")</f>
        <v>IFTTT</v>
      </c>
      <c r="L956" s="13">
        <v>7061</v>
      </c>
      <c r="M956" s="13">
        <v>2018</v>
      </c>
      <c r="N956" s="13">
        <v>262</v>
      </c>
      <c r="O956" s="15"/>
      <c r="P956" s="6">
        <v>40294.064328703702</v>
      </c>
      <c r="Q956" s="17" t="s">
        <v>27</v>
      </c>
      <c r="R956" s="18" t="s">
        <v>3921</v>
      </c>
      <c r="S956" s="11" t="s">
        <v>3922</v>
      </c>
      <c r="T956" s="12"/>
      <c r="U956" s="10" t="str">
        <f>HYPERLINK("https://pbs.twimg.com/profile_images/1050392555219808257/08qBaipp.jpg","View")</f>
        <v>View</v>
      </c>
    </row>
    <row r="957" spans="1:21" ht="20.399999999999999">
      <c r="A957" s="6">
        <v>43427.230844907404</v>
      </c>
      <c r="B957" s="7" t="str">
        <f>HYPERLINK("https://twitter.com/ernestom91","@ernestom91")</f>
        <v>@ernestom91</v>
      </c>
      <c r="C957" s="8" t="s">
        <v>3923</v>
      </c>
      <c r="D957" s="9" t="s">
        <v>3924</v>
      </c>
      <c r="E957" s="10" t="str">
        <f>HYPERLINK("https://twitter.com/ernestom91/status/1065825370912497664","1065825370912497664")</f>
        <v>1065825370912497664</v>
      </c>
      <c r="F957" s="11" t="s">
        <v>3925</v>
      </c>
      <c r="G957" s="12"/>
      <c r="H957" s="12"/>
      <c r="I957" s="13">
        <v>0</v>
      </c>
      <c r="J957" s="13">
        <v>0</v>
      </c>
      <c r="K957" s="14" t="str">
        <f t="shared" si="168"/>
        <v>IFTTT</v>
      </c>
      <c r="L957" s="13">
        <v>152</v>
      </c>
      <c r="M957" s="13">
        <v>154</v>
      </c>
      <c r="N957" s="13">
        <v>0</v>
      </c>
      <c r="O957" s="15"/>
      <c r="P957" s="6">
        <v>40785.863275462965</v>
      </c>
      <c r="Q957" s="12"/>
      <c r="R957" s="19"/>
      <c r="S957" s="12"/>
      <c r="T957" s="12"/>
      <c r="U957" s="10" t="str">
        <f>HYPERLINK("https://pbs.twimg.com/profile_images/1014545539478638592/v8z5J0l0.jpg","View")</f>
        <v>View</v>
      </c>
    </row>
    <row r="958" spans="1:21" ht="40.799999999999997">
      <c r="A958" s="6">
        <v>43427.229594907403</v>
      </c>
      <c r="B958" s="7" t="str">
        <f>HYPERLINK("https://twitter.com/manolitoweb","@manolitoweb")</f>
        <v>@manolitoweb</v>
      </c>
      <c r="C958" s="8" t="s">
        <v>3926</v>
      </c>
      <c r="D958" s="9" t="s">
        <v>3927</v>
      </c>
      <c r="E958" s="10" t="str">
        <f>HYPERLINK("https://twitter.com/manolitoweb/status/1065824920733667328","1065824920733667328")</f>
        <v>1065824920733667328</v>
      </c>
      <c r="F958" s="11" t="s">
        <v>3912</v>
      </c>
      <c r="G958" s="12"/>
      <c r="H958" s="12"/>
      <c r="I958" s="13">
        <v>0</v>
      </c>
      <c r="J958" s="13">
        <v>1</v>
      </c>
      <c r="K958" s="14" t="str">
        <f>HYPERLINK("http://twitter.com","Twitter Web Client")</f>
        <v>Twitter Web Client</v>
      </c>
      <c r="L958" s="13">
        <v>7774</v>
      </c>
      <c r="M958" s="13">
        <v>7288</v>
      </c>
      <c r="N958" s="13">
        <v>114</v>
      </c>
      <c r="O958" s="15"/>
      <c r="P958" s="6">
        <v>40296.65351851852</v>
      </c>
      <c r="Q958" s="17" t="s">
        <v>634</v>
      </c>
      <c r="R958" s="18" t="s">
        <v>3928</v>
      </c>
      <c r="S958" s="11" t="s">
        <v>3929</v>
      </c>
      <c r="T958" s="12"/>
      <c r="U958" s="10" t="str">
        <f>HYPERLINK("https://pbs.twimg.com/profile_images/895124227854028800/ksd4KIdN.jpg","View")</f>
        <v>View</v>
      </c>
    </row>
    <row r="959" spans="1:21" ht="20.399999999999999">
      <c r="A959" s="6">
        <v>43427.229432870372</v>
      </c>
      <c r="B959" s="7" t="str">
        <f>HYPERLINK("https://twitter.com/owwnews","@owwnews")</f>
        <v>@owwnews</v>
      </c>
      <c r="C959" s="8" t="s">
        <v>3930</v>
      </c>
      <c r="D959" s="9" t="s">
        <v>2660</v>
      </c>
      <c r="E959" s="10" t="str">
        <f>HYPERLINK("https://twitter.com/owwnews/status/1065824861594009600","1065824861594009600")</f>
        <v>1065824861594009600</v>
      </c>
      <c r="F959" s="11" t="s">
        <v>3931</v>
      </c>
      <c r="G959" s="12"/>
      <c r="H959" s="12"/>
      <c r="I959" s="13">
        <v>0</v>
      </c>
      <c r="J959" s="13">
        <v>1</v>
      </c>
      <c r="K959" s="14" t="str">
        <f t="shared" ref="K959:K960" si="169">HYPERLINK("http://www.facebook.com/twitter","Facebook")</f>
        <v>Facebook</v>
      </c>
      <c r="L959" s="13">
        <v>44</v>
      </c>
      <c r="M959" s="13">
        <v>333</v>
      </c>
      <c r="N959" s="13">
        <v>0</v>
      </c>
      <c r="O959" s="15"/>
      <c r="P959" s="6">
        <v>42584.617141203707</v>
      </c>
      <c r="Q959" s="12"/>
      <c r="R959" s="19"/>
      <c r="S959" s="11" t="s">
        <v>3932</v>
      </c>
      <c r="T959" s="12"/>
      <c r="U959" s="10" t="str">
        <f>HYPERLINK("https://pbs.twimg.com/profile_images/1065763042787381249/RpoBdmP3.jpg","View")</f>
        <v>View</v>
      </c>
    </row>
    <row r="960" spans="1:21" ht="40.799999999999997">
      <c r="A960" s="6">
        <v>43427.226875</v>
      </c>
      <c r="B960" s="7" t="str">
        <f>HYPERLINK("https://twitter.com/CMKXDigital","@CMKXDigital")</f>
        <v>@CMKXDigital</v>
      </c>
      <c r="C960" s="8" t="s">
        <v>3933</v>
      </c>
      <c r="D960" s="9" t="s">
        <v>3934</v>
      </c>
      <c r="E960" s="10" t="str">
        <f>HYPERLINK("https://twitter.com/CMKXDigital/status/1065823933725843458","1065823933725843458")</f>
        <v>1065823933725843458</v>
      </c>
      <c r="F960" s="11" t="s">
        <v>3912</v>
      </c>
      <c r="G960" s="12"/>
      <c r="H960" s="12"/>
      <c r="I960" s="13">
        <v>0</v>
      </c>
      <c r="J960" s="13">
        <v>0</v>
      </c>
      <c r="K960" s="14" t="str">
        <f t="shared" si="169"/>
        <v>Facebook</v>
      </c>
      <c r="L960" s="13">
        <v>3449</v>
      </c>
      <c r="M960" s="13">
        <v>489</v>
      </c>
      <c r="N960" s="13">
        <v>69</v>
      </c>
      <c r="O960" s="15"/>
      <c r="P960" s="6">
        <v>40298.662037037036</v>
      </c>
      <c r="Q960" s="17" t="s">
        <v>3935</v>
      </c>
      <c r="R960" s="18" t="s">
        <v>3936</v>
      </c>
      <c r="S960" s="11" t="s">
        <v>3937</v>
      </c>
      <c r="T960" s="12"/>
      <c r="U960" s="10" t="str">
        <f>HYPERLINK("https://pbs.twimg.com/profile_images/378800000799093326/4d134887e11409917148c1fdedd620f3.jpeg","View")</f>
        <v>View</v>
      </c>
    </row>
    <row r="961" spans="1:21" ht="30.6">
      <c r="A961" s="6">
        <v>43427.22619212963</v>
      </c>
      <c r="B961" s="7" t="str">
        <f>HYPERLINK("https://twitter.com/aquilavida","@aquilavida")</f>
        <v>@aquilavida</v>
      </c>
      <c r="C961" s="8" t="s">
        <v>2241</v>
      </c>
      <c r="D961" s="9" t="s">
        <v>3938</v>
      </c>
      <c r="E961" s="10" t="str">
        <f>HYPERLINK("https://twitter.com/aquilavida/status/1065823686467510272","1065823686467510272")</f>
        <v>1065823686467510272</v>
      </c>
      <c r="F961" s="11" t="s">
        <v>3939</v>
      </c>
      <c r="G961" s="12"/>
      <c r="H961" s="12"/>
      <c r="I961" s="13">
        <v>0</v>
      </c>
      <c r="J961" s="13">
        <v>0</v>
      </c>
      <c r="K961" s="14" t="str">
        <f>HYPERLINK("https://ifttt.com","IFTTT")</f>
        <v>IFTTT</v>
      </c>
      <c r="L961" s="13">
        <v>240</v>
      </c>
      <c r="M961" s="13">
        <v>233</v>
      </c>
      <c r="N961" s="13">
        <v>55</v>
      </c>
      <c r="O961" s="15"/>
      <c r="P961" s="6">
        <v>40665.698576388888</v>
      </c>
      <c r="Q961" s="17" t="s">
        <v>72</v>
      </c>
      <c r="R961" s="18" t="s">
        <v>2244</v>
      </c>
      <c r="S961" s="12"/>
      <c r="T961" s="12"/>
      <c r="U961" s="10" t="str">
        <f>HYPERLINK("https://pbs.twimg.com/profile_images/1658515048/image.jpg","View")</f>
        <v>View</v>
      </c>
    </row>
    <row r="962" spans="1:21" ht="40.799999999999997">
      <c r="A962" s="6">
        <v>43427.22583333333</v>
      </c>
      <c r="B962" s="7" t="str">
        <f>HYPERLINK("https://twitter.com/JaumeBarbera","@JaumeBarbera")</f>
        <v>@JaumeBarbera</v>
      </c>
      <c r="C962" s="8" t="s">
        <v>3940</v>
      </c>
      <c r="D962" s="9" t="s">
        <v>745</v>
      </c>
      <c r="E962" s="10" t="str">
        <f>HYPERLINK("https://twitter.com/JaumeBarbera/status/1065823556179828737","1065823556179828737")</f>
        <v>1065823556179828737</v>
      </c>
      <c r="F962" s="11" t="s">
        <v>746</v>
      </c>
      <c r="G962" s="12"/>
      <c r="H962" s="12"/>
      <c r="I962" s="13">
        <v>0</v>
      </c>
      <c r="J962" s="13">
        <v>0</v>
      </c>
      <c r="K962" s="14" t="str">
        <f>HYPERLINK("http://twitter.com/download/iphone","Twitter for iPhone")</f>
        <v>Twitter for iPhone</v>
      </c>
      <c r="L962" s="13">
        <v>114413</v>
      </c>
      <c r="M962" s="13">
        <v>374</v>
      </c>
      <c r="N962" s="13">
        <v>1448</v>
      </c>
      <c r="O962" s="16" t="s">
        <v>26</v>
      </c>
      <c r="P962" s="6">
        <v>40870.811701388891</v>
      </c>
      <c r="Q962" s="17" t="s">
        <v>3941</v>
      </c>
      <c r="R962" s="18" t="s">
        <v>3942</v>
      </c>
      <c r="S962" s="12"/>
      <c r="T962" s="12"/>
      <c r="U962" s="10" t="str">
        <f>HYPERLINK("https://pbs.twimg.com/profile_images/1654131587/jAUME.jpg","View")</f>
        <v>View</v>
      </c>
    </row>
    <row r="963" spans="1:21" ht="20.399999999999999">
      <c r="A963" s="6">
        <v>43427.223854166667</v>
      </c>
      <c r="B963" s="7" t="str">
        <f>HYPERLINK("https://twitter.com/AlienteleSUR","@AlienteleSUR")</f>
        <v>@AlienteleSUR</v>
      </c>
      <c r="C963" s="8" t="s">
        <v>3943</v>
      </c>
      <c r="D963" s="9" t="s">
        <v>3944</v>
      </c>
      <c r="E963" s="10" t="str">
        <f>HYPERLINK("https://twitter.com/AlienteleSUR/status/1065822838446309376","1065822838446309376")</f>
        <v>1065822838446309376</v>
      </c>
      <c r="F963" s="11" t="s">
        <v>3945</v>
      </c>
      <c r="G963" s="12"/>
      <c r="H963" s="12"/>
      <c r="I963" s="13">
        <v>0</v>
      </c>
      <c r="J963" s="13">
        <v>1</v>
      </c>
      <c r="K963" s="14" t="str">
        <f>HYPERLINK("http://multimedia.telesurtv.net","Multimedia teleSUR")</f>
        <v>Multimedia teleSUR</v>
      </c>
      <c r="L963" s="13">
        <v>695</v>
      </c>
      <c r="M963" s="13">
        <v>174</v>
      </c>
      <c r="N963" s="13">
        <v>5</v>
      </c>
      <c r="O963" s="15"/>
      <c r="P963" s="6">
        <v>41859.16547453704</v>
      </c>
      <c r="Q963" s="17" t="s">
        <v>40</v>
      </c>
      <c r="R963" s="19"/>
      <c r="S963" s="12"/>
      <c r="T963" s="12"/>
      <c r="U963" s="10" t="str">
        <f>HYPERLINK("https://pbs.twimg.com/profile_images/1056549220155617280/ow5-9Oik.jpg","View")</f>
        <v>View</v>
      </c>
    </row>
    <row r="964" spans="1:21" ht="20.399999999999999">
      <c r="A964" s="6">
        <v>43427.22378472222</v>
      </c>
      <c r="B964" s="7" t="str">
        <f>HYPERLINK("https://twitter.com/fronterainfo","@fronterainfo")</f>
        <v>@fronterainfo</v>
      </c>
      <c r="C964" s="8" t="s">
        <v>3946</v>
      </c>
      <c r="D964" s="9" t="s">
        <v>3947</v>
      </c>
      <c r="E964" s="10" t="str">
        <f>HYPERLINK("https://twitter.com/fronterainfo/status/1065822812059983873","1065822812059983873")</f>
        <v>1065822812059983873</v>
      </c>
      <c r="F964" s="11" t="s">
        <v>3948</v>
      </c>
      <c r="G964" s="11" t="s">
        <v>3949</v>
      </c>
      <c r="H964" s="12"/>
      <c r="I964" s="13">
        <v>0</v>
      </c>
      <c r="J964" s="13">
        <v>0</v>
      </c>
      <c r="K964" s="14" t="str">
        <f>HYPERLINK("http://www.frontera.info","frontera.info")</f>
        <v>frontera.info</v>
      </c>
      <c r="L964" s="13">
        <v>29087</v>
      </c>
      <c r="M964" s="13">
        <v>1190</v>
      </c>
      <c r="N964" s="13">
        <v>527</v>
      </c>
      <c r="O964" s="15"/>
      <c r="P964" s="6">
        <v>40039.078159722223</v>
      </c>
      <c r="Q964" s="17" t="s">
        <v>3950</v>
      </c>
      <c r="R964" s="18" t="s">
        <v>3951</v>
      </c>
      <c r="S964" s="11" t="s">
        <v>3952</v>
      </c>
      <c r="T964" s="12"/>
      <c r="U964" s="10" t="str">
        <f>HYPERLINK("https://pbs.twimg.com/profile_images/1058021318245810177/VcHoh0yV.jpg","View")</f>
        <v>View</v>
      </c>
    </row>
    <row r="965" spans="1:21" ht="40.799999999999997">
      <c r="A965" s="6">
        <v>43427.223773148144</v>
      </c>
      <c r="B965" s="7" t="str">
        <f>HYPERLINK("https://twitter.com/elimparcialcom","@elimparcialcom")</f>
        <v>@elimparcialcom</v>
      </c>
      <c r="C965" s="8" t="s">
        <v>3953</v>
      </c>
      <c r="D965" s="9" t="s">
        <v>3954</v>
      </c>
      <c r="E965" s="10" t="str">
        <f>HYPERLINK("https://twitter.com/elimparcialcom/status/1065822808796729344","1065822808796729344")</f>
        <v>1065822808796729344</v>
      </c>
      <c r="F965" s="11" t="s">
        <v>3955</v>
      </c>
      <c r="G965" s="11" t="s">
        <v>3956</v>
      </c>
      <c r="H965" s="12"/>
      <c r="I965" s="13">
        <v>0</v>
      </c>
      <c r="J965" s="13">
        <v>0</v>
      </c>
      <c r="K965" s="14" t="str">
        <f>HYPERLINK("http://www.elimparcial.com/","elimparcial.com")</f>
        <v>elimparcial.com</v>
      </c>
      <c r="L965" s="13">
        <v>127212</v>
      </c>
      <c r="M965" s="13">
        <v>1681</v>
      </c>
      <c r="N965" s="13">
        <v>561</v>
      </c>
      <c r="O965" s="15"/>
      <c r="P965" s="6">
        <v>39938.073113425926</v>
      </c>
      <c r="Q965" s="17" t="s">
        <v>3957</v>
      </c>
      <c r="R965" s="18" t="s">
        <v>3958</v>
      </c>
      <c r="S965" s="11" t="s">
        <v>3959</v>
      </c>
      <c r="T965" s="12"/>
      <c r="U965" s="10" t="str">
        <f>HYPERLINK("https://pbs.twimg.com/profile_images/1058030081128288257/pFZZObdH.jpg","View")</f>
        <v>View</v>
      </c>
    </row>
    <row r="966" spans="1:21" ht="40.799999999999997">
      <c r="A966" s="6">
        <v>43427.223692129628</v>
      </c>
      <c r="B966" s="7" t="str">
        <f>HYPERLINK("https://twitter.com/CMKXDigital","@CMKXDigital")</f>
        <v>@CMKXDigital</v>
      </c>
      <c r="C966" s="8" t="s">
        <v>3933</v>
      </c>
      <c r="D966" s="9" t="s">
        <v>3924</v>
      </c>
      <c r="E966" s="10" t="str">
        <f>HYPERLINK("https://twitter.com/CMKXDigital/status/1065822778262257664","1065822778262257664")</f>
        <v>1065822778262257664</v>
      </c>
      <c r="F966" s="11" t="s">
        <v>3912</v>
      </c>
      <c r="G966" s="12"/>
      <c r="H966" s="12"/>
      <c r="I966" s="13">
        <v>0</v>
      </c>
      <c r="J966" s="13">
        <v>0</v>
      </c>
      <c r="K966" s="14" t="str">
        <f>HYPERLINK("https://about.twitter.com/products/tweetdeck","TweetDeck")</f>
        <v>TweetDeck</v>
      </c>
      <c r="L966" s="13">
        <v>3449</v>
      </c>
      <c r="M966" s="13">
        <v>489</v>
      </c>
      <c r="N966" s="13">
        <v>69</v>
      </c>
      <c r="O966" s="15"/>
      <c r="P966" s="6">
        <v>40298.662037037036</v>
      </c>
      <c r="Q966" s="17" t="s">
        <v>3935</v>
      </c>
      <c r="R966" s="18" t="s">
        <v>3936</v>
      </c>
      <c r="S966" s="11" t="s">
        <v>3937</v>
      </c>
      <c r="T966" s="12"/>
      <c r="U966" s="10" t="str">
        <f>HYPERLINK("https://pbs.twimg.com/profile_images/378800000799093326/4d134887e11409917148c1fdedd620f3.jpeg","View")</f>
        <v>View</v>
      </c>
    </row>
    <row r="967" spans="1:21" ht="40.799999999999997">
      <c r="A967" s="6">
        <v>43427.223587962959</v>
      </c>
      <c r="B967" s="7" t="str">
        <f>HYPERLINK("https://twitter.com/JaumeBarbera","@JaumeBarbera")</f>
        <v>@JaumeBarbera</v>
      </c>
      <c r="C967" s="8" t="s">
        <v>3940</v>
      </c>
      <c r="D967" s="9" t="s">
        <v>2295</v>
      </c>
      <c r="E967" s="10" t="str">
        <f>HYPERLINK("https://twitter.com/JaumeBarbera/status/1065822742426107904","1065822742426107904")</f>
        <v>1065822742426107904</v>
      </c>
      <c r="F967" s="11" t="s">
        <v>3960</v>
      </c>
      <c r="G967" s="12"/>
      <c r="H967" s="12"/>
      <c r="I967" s="13">
        <v>0</v>
      </c>
      <c r="J967" s="13">
        <v>0</v>
      </c>
      <c r="K967" s="14" t="str">
        <f>HYPERLINK("http://twitter.com/download/iphone","Twitter for iPhone")</f>
        <v>Twitter for iPhone</v>
      </c>
      <c r="L967" s="13">
        <v>114413</v>
      </c>
      <c r="M967" s="13">
        <v>374</v>
      </c>
      <c r="N967" s="13">
        <v>1448</v>
      </c>
      <c r="O967" s="16" t="s">
        <v>26</v>
      </c>
      <c r="P967" s="6">
        <v>40870.811701388891</v>
      </c>
      <c r="Q967" s="17" t="s">
        <v>3941</v>
      </c>
      <c r="R967" s="18" t="s">
        <v>3942</v>
      </c>
      <c r="S967" s="12"/>
      <c r="T967" s="12"/>
      <c r="U967" s="10" t="str">
        <f>HYPERLINK("https://pbs.twimg.com/profile_images/1654131587/jAUME.jpg","View")</f>
        <v>View</v>
      </c>
    </row>
    <row r="968" spans="1:21" ht="20.399999999999999">
      <c r="A968" s="6">
        <v>43427.220567129625</v>
      </c>
      <c r="B968" s="7" t="str">
        <f>HYPERLINK("https://twitter.com/teleSUR_Cuba","@teleSUR_Cuba")</f>
        <v>@teleSUR_Cuba</v>
      </c>
      <c r="C968" s="8" t="s">
        <v>3961</v>
      </c>
      <c r="D968" s="9" t="s">
        <v>3944</v>
      </c>
      <c r="E968" s="10" t="str">
        <f>HYPERLINK("https://twitter.com/teleSUR_Cuba/status/1065821648606117888","1065821648606117888")</f>
        <v>1065821648606117888</v>
      </c>
      <c r="F968" s="11" t="s">
        <v>3945</v>
      </c>
      <c r="G968" s="12"/>
      <c r="H968" s="12"/>
      <c r="I968" s="13">
        <v>0</v>
      </c>
      <c r="J968" s="13">
        <v>0</v>
      </c>
      <c r="K968" s="14" t="str">
        <f>HYPERLINK("http://multimedia.telesurtv.net","Multimedia teleSUR")</f>
        <v>Multimedia teleSUR</v>
      </c>
      <c r="L968" s="13">
        <v>16686</v>
      </c>
      <c r="M968" s="13">
        <v>54</v>
      </c>
      <c r="N968" s="13">
        <v>152</v>
      </c>
      <c r="O968" s="15"/>
      <c r="P968" s="6">
        <v>40578.687673611115</v>
      </c>
      <c r="Q968" s="17" t="s">
        <v>475</v>
      </c>
      <c r="R968" s="18" t="s">
        <v>3962</v>
      </c>
      <c r="S968" s="11" t="s">
        <v>1700</v>
      </c>
      <c r="T968" s="12"/>
      <c r="U968" s="10" t="str">
        <f>HYPERLINK("https://pbs.twimg.com/profile_images/378800000735274021/2e9d9b9303bd8f5c5d4c8f3c847e393f.jpeg","View")</f>
        <v>View</v>
      </c>
    </row>
    <row r="969" spans="1:21" ht="13.2">
      <c r="A969" s="6">
        <v>43427.219918981486</v>
      </c>
      <c r="B969" s="7" t="str">
        <f>HYPERLINK("https://twitter.com/JoseanDuran45","@JoseanDuran45")</f>
        <v>@JoseanDuran45</v>
      </c>
      <c r="C969" s="8" t="s">
        <v>3909</v>
      </c>
      <c r="D969" s="9" t="s">
        <v>3170</v>
      </c>
      <c r="E969" s="10" t="str">
        <f>HYPERLINK("https://twitter.com/JoseanDuran45/status/1065821413775429632","1065821413775429632")</f>
        <v>1065821413775429632</v>
      </c>
      <c r="F969" s="11" t="s">
        <v>1116</v>
      </c>
      <c r="G969" s="12"/>
      <c r="H969" s="12"/>
      <c r="I969" s="13">
        <v>0</v>
      </c>
      <c r="J969" s="13">
        <v>0</v>
      </c>
      <c r="K969" s="14" t="str">
        <f>HYPERLINK("http://twitter.com","Twitter Web Client")</f>
        <v>Twitter Web Client</v>
      </c>
      <c r="L969" s="13">
        <v>157</v>
      </c>
      <c r="M969" s="13">
        <v>179</v>
      </c>
      <c r="N969" s="13">
        <v>4</v>
      </c>
      <c r="O969" s="15"/>
      <c r="P969" s="6">
        <v>42327.814120370371</v>
      </c>
      <c r="Q969" s="12"/>
      <c r="R969" s="19"/>
      <c r="S969" s="12"/>
      <c r="T969" s="12"/>
      <c r="U969" s="10" t="str">
        <f>HYPERLINK("https://pbs.twimg.com/profile_images/667412235568959488/hCT9XWvM.jpg","View")</f>
        <v>View</v>
      </c>
    </row>
    <row r="970" spans="1:21" ht="40.799999999999997">
      <c r="A970" s="6">
        <v>43427.219328703708</v>
      </c>
      <c r="B970" s="7" t="str">
        <f>HYPERLINK("https://twitter.com/radiorelojcuba","@radiorelojcuba")</f>
        <v>@radiorelojcuba</v>
      </c>
      <c r="C970" s="8" t="s">
        <v>3963</v>
      </c>
      <c r="D970" s="9" t="s">
        <v>3964</v>
      </c>
      <c r="E970" s="10" t="str">
        <f>HYPERLINK("https://twitter.com/radiorelojcuba/status/1065821199920492544","1065821199920492544")</f>
        <v>1065821199920492544</v>
      </c>
      <c r="F970" s="11" t="s">
        <v>3912</v>
      </c>
      <c r="G970" s="11" t="s">
        <v>3965</v>
      </c>
      <c r="H970" s="12"/>
      <c r="I970" s="13">
        <v>10</v>
      </c>
      <c r="J970" s="13">
        <v>8</v>
      </c>
      <c r="K970" s="14" t="str">
        <f>HYPERLINK("https://postcron.com","Postcron App")</f>
        <v>Postcron App</v>
      </c>
      <c r="L970" s="13">
        <v>13488</v>
      </c>
      <c r="M970" s="13">
        <v>4118</v>
      </c>
      <c r="N970" s="13">
        <v>192</v>
      </c>
      <c r="O970" s="15"/>
      <c r="P970" s="6">
        <v>40424.560694444444</v>
      </c>
      <c r="Q970" s="17" t="s">
        <v>1282</v>
      </c>
      <c r="R970" s="18" t="s">
        <v>3966</v>
      </c>
      <c r="S970" s="11" t="s">
        <v>3967</v>
      </c>
      <c r="T970" s="12"/>
      <c r="U970" s="10" t="str">
        <f>HYPERLINK("https://pbs.twimg.com/profile_images/1013804101728010242/PC4f4sQv.jpg","View")</f>
        <v>View</v>
      </c>
    </row>
    <row r="971" spans="1:21" ht="40.799999999999997">
      <c r="A971" s="6">
        <v>43427.2191087963</v>
      </c>
      <c r="B971" s="7" t="str">
        <f>HYPERLINK("https://twitter.com/EmbaCubaSriLank","@EmbaCubaSriLank")</f>
        <v>@EmbaCubaSriLank</v>
      </c>
      <c r="C971" s="8" t="s">
        <v>3968</v>
      </c>
      <c r="D971" s="9" t="s">
        <v>3969</v>
      </c>
      <c r="E971" s="10" t="str">
        <f>HYPERLINK("https://twitter.com/EmbaCubaSriLank/status/1065821121013063681","1065821121013063681")</f>
        <v>1065821121013063681</v>
      </c>
      <c r="F971" s="12"/>
      <c r="G971" s="11" t="s">
        <v>3970</v>
      </c>
      <c r="H971" s="12"/>
      <c r="I971" s="13">
        <v>0</v>
      </c>
      <c r="J971" s="13">
        <v>2</v>
      </c>
      <c r="K971" s="14" t="str">
        <f>HYPERLINK("http://twitter.com","Twitter Web Client")</f>
        <v>Twitter Web Client</v>
      </c>
      <c r="L971" s="13">
        <v>344</v>
      </c>
      <c r="M971" s="13">
        <v>96</v>
      </c>
      <c r="N971" s="13">
        <v>10</v>
      </c>
      <c r="O971" s="15"/>
      <c r="P971" s="6">
        <v>41991.137870370367</v>
      </c>
      <c r="Q971" s="12"/>
      <c r="R971" s="19"/>
      <c r="S971" s="12"/>
      <c r="T971" s="12"/>
      <c r="U971" s="10" t="str">
        <f>HYPERLINK("https://pbs.twimg.com/profile_images/828538552078233600/-_cL_feV.jpg","View")</f>
        <v>View</v>
      </c>
    </row>
    <row r="972" spans="1:21" ht="40.799999999999997">
      <c r="A972" s="6">
        <v>43427.216678240744</v>
      </c>
      <c r="B972" s="7" t="str">
        <f>HYPERLINK("https://twitter.com/elportaluco","@elportaluco")</f>
        <v>@elportaluco</v>
      </c>
      <c r="C972" s="8" t="s">
        <v>3971</v>
      </c>
      <c r="D972" s="9" t="s">
        <v>3972</v>
      </c>
      <c r="E972" s="10" t="str">
        <f>HYPERLINK("https://twitter.com/elportaluco/status/1065820239957450752","1065820239957450752")</f>
        <v>1065820239957450752</v>
      </c>
      <c r="F972" s="11" t="s">
        <v>3973</v>
      </c>
      <c r="G972" s="12"/>
      <c r="H972" s="12"/>
      <c r="I972" s="13">
        <v>0</v>
      </c>
      <c r="J972" s="13">
        <v>0</v>
      </c>
      <c r="K972" s="14" t="str">
        <f>HYPERLINK("https://dlvrit.com/","dlvr.it")</f>
        <v>dlvr.it</v>
      </c>
      <c r="L972" s="13">
        <v>3578</v>
      </c>
      <c r="M972" s="13">
        <v>1280</v>
      </c>
      <c r="N972" s="13">
        <v>109</v>
      </c>
      <c r="O972" s="15"/>
      <c r="P972" s="6">
        <v>40096.002349537041</v>
      </c>
      <c r="Q972" s="17" t="s">
        <v>3974</v>
      </c>
      <c r="R972" s="18" t="s">
        <v>3975</v>
      </c>
      <c r="S972" s="11" t="s">
        <v>3976</v>
      </c>
      <c r="T972" s="12"/>
      <c r="U972" s="10" t="str">
        <f>HYPERLINK("https://pbs.twimg.com/profile_images/1583693441/el_portaluco_twitter.JPG","View")</f>
        <v>View</v>
      </c>
    </row>
    <row r="973" spans="1:21" ht="13.2">
      <c r="A973" s="6">
        <v>43427.211377314816</v>
      </c>
      <c r="B973" s="7" t="str">
        <f>HYPERLINK("https://twitter.com/HarryFerro","@HarryFerro")</f>
        <v>@HarryFerro</v>
      </c>
      <c r="C973" s="8" t="s">
        <v>3977</v>
      </c>
      <c r="D973" s="9" t="s">
        <v>832</v>
      </c>
      <c r="E973" s="10" t="str">
        <f>HYPERLINK("https://twitter.com/HarryFerro/status/1065818316474851329","1065818316474851329")</f>
        <v>1065818316474851329</v>
      </c>
      <c r="F973" s="11" t="s">
        <v>3978</v>
      </c>
      <c r="G973" s="12"/>
      <c r="H973" s="12"/>
      <c r="I973" s="13">
        <v>0</v>
      </c>
      <c r="J973" s="13">
        <v>0</v>
      </c>
      <c r="K973" s="14" t="str">
        <f>HYPERLINK("http://twitter.com","Twitter Web Client")</f>
        <v>Twitter Web Client</v>
      </c>
      <c r="L973" s="13">
        <v>916</v>
      </c>
      <c r="M973" s="13">
        <v>1311</v>
      </c>
      <c r="N973" s="13">
        <v>66</v>
      </c>
      <c r="O973" s="15"/>
      <c r="P973" s="6">
        <v>40253.477546296301</v>
      </c>
      <c r="Q973" s="12"/>
      <c r="R973" s="19"/>
      <c r="S973" s="12"/>
      <c r="T973" s="12"/>
      <c r="U973" s="10" t="str">
        <f>HYPERLINK("https://pbs.twimg.com/profile_images/689251331731795969/Os07cbw4.jpg","View")</f>
        <v>View</v>
      </c>
    </row>
    <row r="974" spans="1:21" ht="40.799999999999997">
      <c r="A974" s="6">
        <v>43427.211215277777</v>
      </c>
      <c r="B974" s="7" t="str">
        <f>HYPERLINK("https://twitter.com/imagencuba","@imagencuba")</f>
        <v>@imagencuba</v>
      </c>
      <c r="C974" s="8" t="s">
        <v>3979</v>
      </c>
      <c r="D974" s="9" t="s">
        <v>3980</v>
      </c>
      <c r="E974" s="10" t="str">
        <f>HYPERLINK("https://twitter.com/imagencuba/status/1065818257171652609","1065818257171652609")</f>
        <v>1065818257171652609</v>
      </c>
      <c r="F974" s="11" t="s">
        <v>3981</v>
      </c>
      <c r="G974" s="12"/>
      <c r="H974" s="12"/>
      <c r="I974" s="13">
        <v>0</v>
      </c>
      <c r="J974" s="13">
        <v>1</v>
      </c>
      <c r="K974" s="14" t="str">
        <f>HYPERLINK("http://instagram.com","Instagram")</f>
        <v>Instagram</v>
      </c>
      <c r="L974" s="13">
        <v>163</v>
      </c>
      <c r="M974" s="13">
        <v>85</v>
      </c>
      <c r="N974" s="13">
        <v>8</v>
      </c>
      <c r="O974" s="15"/>
      <c r="P974" s="6">
        <v>40087.896203703705</v>
      </c>
      <c r="Q974" s="17" t="s">
        <v>475</v>
      </c>
      <c r="R974" s="18" t="s">
        <v>3982</v>
      </c>
      <c r="S974" s="11" t="s">
        <v>3983</v>
      </c>
      <c r="T974" s="12"/>
      <c r="U974" s="10" t="str">
        <f>HYPERLINK("https://pbs.twimg.com/profile_images/507016237/_DSC1969.JPG","View")</f>
        <v>View</v>
      </c>
    </row>
    <row r="975" spans="1:21" ht="20.399999999999999">
      <c r="A975" s="6">
        <v>43427.207638888889</v>
      </c>
      <c r="B975" s="7" t="str">
        <f>HYPERLINK("https://twitter.com/sumariumcom","@sumariumcom")</f>
        <v>@sumariumcom</v>
      </c>
      <c r="C975" s="8" t="s">
        <v>1974</v>
      </c>
      <c r="D975" s="9" t="s">
        <v>2046</v>
      </c>
      <c r="E975" s="10" t="str">
        <f>HYPERLINK("https://twitter.com/sumariumcom/status/1065816961869705216","1065816961869705216")</f>
        <v>1065816961869705216</v>
      </c>
      <c r="F975" s="11" t="s">
        <v>2047</v>
      </c>
      <c r="G975" s="11" t="s">
        <v>3984</v>
      </c>
      <c r="H975" s="12"/>
      <c r="I975" s="13">
        <v>0</v>
      </c>
      <c r="J975" s="13">
        <v>0</v>
      </c>
      <c r="K975" s="14" t="str">
        <f>HYPERLINK("https://about.twitter.com/products/tweetdeck","TweetDeck")</f>
        <v>TweetDeck</v>
      </c>
      <c r="L975" s="13">
        <v>164226</v>
      </c>
      <c r="M975" s="13">
        <v>994</v>
      </c>
      <c r="N975" s="13">
        <v>1117</v>
      </c>
      <c r="O975" s="15"/>
      <c r="P975" s="6">
        <v>40977.809594907405</v>
      </c>
      <c r="Q975" s="17" t="s">
        <v>1978</v>
      </c>
      <c r="R975" s="19"/>
      <c r="S975" s="11" t="s">
        <v>1979</v>
      </c>
      <c r="T975" s="12"/>
      <c r="U975" s="10" t="str">
        <f>HYPERLINK("https://pbs.twimg.com/profile_images/1061987847874469888/mok5IDTt.jpg","View")</f>
        <v>View</v>
      </c>
    </row>
    <row r="976" spans="1:21" ht="20.399999999999999">
      <c r="A976" s="6">
        <v>43427.207280092596</v>
      </c>
      <c r="B976" s="7" t="str">
        <f>HYPERLINK("https://twitter.com/A_Del_Hierro","@A_Del_Hierro")</f>
        <v>@A_Del_Hierro</v>
      </c>
      <c r="C976" s="8" t="s">
        <v>3985</v>
      </c>
      <c r="D976" s="9" t="s">
        <v>3986</v>
      </c>
      <c r="E976" s="10" t="str">
        <f>HYPERLINK("https://twitter.com/A_Del_Hierro/status/1065816834686025729","1065816834686025729")</f>
        <v>1065816834686025729</v>
      </c>
      <c r="F976" s="11" t="s">
        <v>3988</v>
      </c>
      <c r="G976" s="11" t="s">
        <v>3989</v>
      </c>
      <c r="H976" s="12"/>
      <c r="I976" s="13">
        <v>0</v>
      </c>
      <c r="J976" s="13">
        <v>0</v>
      </c>
      <c r="K976" s="14" t="str">
        <f>HYPERLINK("http://publicize.wp.com/","WordPress.com")</f>
        <v>WordPress.com</v>
      </c>
      <c r="L976" s="13">
        <v>197</v>
      </c>
      <c r="M976" s="13">
        <v>334</v>
      </c>
      <c r="N976" s="13">
        <v>6</v>
      </c>
      <c r="O976" s="15"/>
      <c r="P976" s="6">
        <v>41063.327349537038</v>
      </c>
      <c r="Q976" s="17" t="s">
        <v>3990</v>
      </c>
      <c r="R976" s="18" t="s">
        <v>3991</v>
      </c>
      <c r="S976" s="11" t="s">
        <v>3992</v>
      </c>
      <c r="T976" s="12"/>
      <c r="U976" s="10" t="str">
        <f>HYPERLINK("https://pbs.twimg.com/profile_images/534412110176862208/bdjRMOpM.jpeg","View")</f>
        <v>View</v>
      </c>
    </row>
    <row r="977" spans="1:21" ht="20.399999999999999">
      <c r="A977" s="6">
        <v>43427.206990740742</v>
      </c>
      <c r="B977" s="7" t="str">
        <f>HYPERLINK("https://twitter.com/Helmedra","@Helmedra")</f>
        <v>@Helmedra</v>
      </c>
      <c r="C977" s="8" t="s">
        <v>3994</v>
      </c>
      <c r="D977" s="9" t="s">
        <v>3850</v>
      </c>
      <c r="E977" s="10" t="str">
        <f>HYPERLINK("https://twitter.com/Helmedra/status/1065816729178107904","1065816729178107904")</f>
        <v>1065816729178107904</v>
      </c>
      <c r="F977" s="11" t="s">
        <v>3995</v>
      </c>
      <c r="G977" s="11" t="s">
        <v>3996</v>
      </c>
      <c r="H977" s="12"/>
      <c r="I977" s="13">
        <v>0</v>
      </c>
      <c r="J977" s="13">
        <v>0</v>
      </c>
      <c r="K977" s="14" t="str">
        <f t="shared" ref="K977:K978" si="170">HYPERLINK("https://dlvrit.com/","dlvr.it")</f>
        <v>dlvr.it</v>
      </c>
      <c r="L977" s="13">
        <v>665</v>
      </c>
      <c r="M977" s="13">
        <v>708</v>
      </c>
      <c r="N977" s="13">
        <v>4</v>
      </c>
      <c r="O977" s="15"/>
      <c r="P977" s="6">
        <v>41352.733958333338</v>
      </c>
      <c r="Q977" s="17" t="s">
        <v>3997</v>
      </c>
      <c r="R977" s="18" t="s">
        <v>3998</v>
      </c>
      <c r="S977" s="12"/>
      <c r="T977" s="12"/>
      <c r="U977" s="10" t="str">
        <f>HYPERLINK("https://pbs.twimg.com/profile_images/3401935079/fbab0d9f4ab72df89c7a8fcaec13c7fc.jpeg","View")</f>
        <v>View</v>
      </c>
    </row>
    <row r="978" spans="1:21" ht="20.399999999999999">
      <c r="A978" s="6">
        <v>43427.205590277779</v>
      </c>
      <c r="B978" s="7" t="str">
        <f>HYPERLINK("https://twitter.com/RadioNeXX","@RadioNeXX")</f>
        <v>@RadioNeXX</v>
      </c>
      <c r="C978" s="8" t="s">
        <v>257</v>
      </c>
      <c r="D978" s="9" t="s">
        <v>258</v>
      </c>
      <c r="E978" s="10" t="str">
        <f>HYPERLINK("https://twitter.com/RadioNeXX/status/1065816219289186305","1065816219289186305")</f>
        <v>1065816219289186305</v>
      </c>
      <c r="F978" s="11" t="s">
        <v>260</v>
      </c>
      <c r="G978" s="11" t="s">
        <v>261</v>
      </c>
      <c r="H978" s="12"/>
      <c r="I978" s="13">
        <v>0</v>
      </c>
      <c r="J978" s="13">
        <v>0</v>
      </c>
      <c r="K978" s="14" t="str">
        <f t="shared" si="170"/>
        <v>dlvr.it</v>
      </c>
      <c r="L978" s="13">
        <v>86280</v>
      </c>
      <c r="M978" s="13">
        <v>1462</v>
      </c>
      <c r="N978" s="13">
        <v>783</v>
      </c>
      <c r="O978" s="15"/>
      <c r="P978" s="6">
        <v>39999.134780092594</v>
      </c>
      <c r="Q978" s="17" t="s">
        <v>264</v>
      </c>
      <c r="R978" s="18" t="s">
        <v>266</v>
      </c>
      <c r="S978" s="11" t="s">
        <v>268</v>
      </c>
      <c r="T978" s="12"/>
      <c r="U978" s="10" t="str">
        <f>HYPERLINK("https://pbs.twimg.com/profile_images/1487192442/avatar-twitter2.png","View")</f>
        <v>View</v>
      </c>
    </row>
    <row r="979" spans="1:21" ht="40.799999999999997">
      <c r="A979" s="6">
        <v>43427.204189814816</v>
      </c>
      <c r="B979" s="7" t="str">
        <f>HYPERLINK("https://twitter.com/elestimulo","@elestimulo")</f>
        <v>@elestimulo</v>
      </c>
      <c r="C979" s="8" t="s">
        <v>1431</v>
      </c>
      <c r="D979" s="9" t="s">
        <v>1432</v>
      </c>
      <c r="E979" s="10" t="str">
        <f>HYPERLINK("https://twitter.com/elestimulo/status/1065815712579665920","1065815712579665920")</f>
        <v>1065815712579665920</v>
      </c>
      <c r="F979" s="11" t="s">
        <v>1433</v>
      </c>
      <c r="G979" s="11" t="s">
        <v>3999</v>
      </c>
      <c r="H979" s="12"/>
      <c r="I979" s="13">
        <v>4</v>
      </c>
      <c r="J979" s="13">
        <v>1</v>
      </c>
      <c r="K979" s="14" t="str">
        <f>HYPERLINK("https://buffer.com","Buffer")</f>
        <v>Buffer</v>
      </c>
      <c r="L979" s="13">
        <v>177191</v>
      </c>
      <c r="M979" s="13">
        <v>3520</v>
      </c>
      <c r="N979" s="13">
        <v>1314</v>
      </c>
      <c r="O979" s="16" t="s">
        <v>26</v>
      </c>
      <c r="P979" s="6">
        <v>41393.769074074073</v>
      </c>
      <c r="Q979" s="12"/>
      <c r="R979" s="18" t="s">
        <v>1434</v>
      </c>
      <c r="S979" s="11" t="s">
        <v>1435</v>
      </c>
      <c r="T979" s="12"/>
      <c r="U979" s="10" t="str">
        <f>HYPERLINK("https://pbs.twimg.com/profile_images/1058387729506017281/joGdI3H4.jpg","View")</f>
        <v>View</v>
      </c>
    </row>
    <row r="980" spans="1:21" ht="20.399999999999999">
      <c r="A980" s="6">
        <v>43427.202152777776</v>
      </c>
      <c r="B980" s="7" t="str">
        <f>HYPERLINK("https://twitter.com/EP_Mundo","@EP_Mundo")</f>
        <v>@EP_Mundo</v>
      </c>
      <c r="C980" s="8" t="s">
        <v>298</v>
      </c>
      <c r="D980" s="9" t="s">
        <v>299</v>
      </c>
      <c r="E980" s="10" t="str">
        <f>HYPERLINK("https://twitter.com/EP_Mundo/status/1065814973128077312","1065814973128077312")</f>
        <v>1065814973128077312</v>
      </c>
      <c r="F980" s="11" t="s">
        <v>99</v>
      </c>
      <c r="G980" s="11" t="s">
        <v>4000</v>
      </c>
      <c r="H980" s="12"/>
      <c r="I980" s="13">
        <v>0</v>
      </c>
      <c r="J980" s="13">
        <v>0</v>
      </c>
      <c r="K980" s="14" t="str">
        <f>HYPERLINK("http://epmundo.com","Tuiteo TOP EP (2)")</f>
        <v>Tuiteo TOP EP (2)</v>
      </c>
      <c r="L980" s="13">
        <v>510632</v>
      </c>
      <c r="M980" s="13">
        <v>302207</v>
      </c>
      <c r="N980" s="13">
        <v>1367</v>
      </c>
      <c r="O980" s="15"/>
      <c r="P980" s="6">
        <v>40203.223078703704</v>
      </c>
      <c r="Q980" s="12"/>
      <c r="R980" s="18" t="s">
        <v>303</v>
      </c>
      <c r="S980" s="11" t="s">
        <v>304</v>
      </c>
      <c r="T980" s="12"/>
      <c r="U980" s="10" t="str">
        <f>HYPERLINK("https://pbs.twimg.com/profile_images/958329583778099200/87-xiuzB.jpg","View")</f>
        <v>View</v>
      </c>
    </row>
    <row r="981" spans="1:21" ht="30.6">
      <c r="A981" s="6">
        <v>43427.201469907406</v>
      </c>
      <c r="B981" s="7" t="str">
        <f>HYPERLINK("https://twitter.com/ResistenciaV58","@ResistenciaV58")</f>
        <v>@ResistenciaV58</v>
      </c>
      <c r="C981" s="8" t="s">
        <v>4001</v>
      </c>
      <c r="D981" s="9" t="s">
        <v>4002</v>
      </c>
      <c r="E981" s="10" t="str">
        <f>HYPERLINK("https://twitter.com/ResistenciaV58/status/1065814729191550978","1065814729191550978")</f>
        <v>1065814729191550978</v>
      </c>
      <c r="F981" s="11" t="s">
        <v>4003</v>
      </c>
      <c r="G981" s="12"/>
      <c r="H981" s="12"/>
      <c r="I981" s="13">
        <v>1</v>
      </c>
      <c r="J981" s="13">
        <v>0</v>
      </c>
      <c r="K981" s="14" t="str">
        <f>HYPERLINK("https://buffer.com","Buffer")</f>
        <v>Buffer</v>
      </c>
      <c r="L981" s="13">
        <v>235393</v>
      </c>
      <c r="M981" s="13">
        <v>602</v>
      </c>
      <c r="N981" s="13">
        <v>607</v>
      </c>
      <c r="O981" s="15"/>
      <c r="P981" s="6">
        <v>41422.20752314815</v>
      </c>
      <c r="Q981" s="17" t="s">
        <v>448</v>
      </c>
      <c r="R981" s="18" t="s">
        <v>4004</v>
      </c>
      <c r="S981" s="11" t="s">
        <v>4005</v>
      </c>
      <c r="T981" s="12"/>
      <c r="U981" s="10" t="str">
        <f>HYPERLINK("https://pbs.twimg.com/profile_images/999243747165593601/oycYYlfB.jpg","View")</f>
        <v>View</v>
      </c>
    </row>
    <row r="982" spans="1:21" ht="20.399999999999999">
      <c r="A982" s="6">
        <v>43427.200196759259</v>
      </c>
      <c r="B982" s="7" t="str">
        <f>HYPERLINK("https://twitter.com/elespejoteve","@elespejoteve")</f>
        <v>@elespejoteve</v>
      </c>
      <c r="C982" s="8" t="s">
        <v>4006</v>
      </c>
      <c r="D982" s="9" t="s">
        <v>2191</v>
      </c>
      <c r="E982" s="10" t="str">
        <f>HYPERLINK("https://twitter.com/elespejoteve/status/1065814265003683841","1065814265003683841")</f>
        <v>1065814265003683841</v>
      </c>
      <c r="F982" s="11" t="s">
        <v>4007</v>
      </c>
      <c r="G982" s="12"/>
      <c r="H982" s="12"/>
      <c r="I982" s="13">
        <v>1</v>
      </c>
      <c r="J982" s="13">
        <v>0</v>
      </c>
      <c r="K982" s="14" t="str">
        <f>HYPERLINK("http://www.facebook.com/twitter","Facebook")</f>
        <v>Facebook</v>
      </c>
      <c r="L982" s="13">
        <v>837</v>
      </c>
      <c r="M982" s="13">
        <v>6</v>
      </c>
      <c r="N982" s="13">
        <v>16</v>
      </c>
      <c r="O982" s="15"/>
      <c r="P982" s="6">
        <v>41367.805509259255</v>
      </c>
      <c r="Q982" s="17" t="s">
        <v>127</v>
      </c>
      <c r="R982" s="18" t="s">
        <v>4008</v>
      </c>
      <c r="S982" s="11" t="s">
        <v>4009</v>
      </c>
      <c r="T982" s="12"/>
      <c r="U982" s="10" t="str">
        <f>HYPERLINK("https://pbs.twimg.com/profile_images/378800000860413214/3jiC0Fjl.jpeg","View")</f>
        <v>View</v>
      </c>
    </row>
    <row r="983" spans="1:21" ht="40.799999999999997">
      <c r="A983" s="6">
        <v>43427.199490740742</v>
      </c>
      <c r="B983" s="7" t="str">
        <f>HYPERLINK("https://twitter.com/ffulloaarredon2","@ffulloaarredon2")</f>
        <v>@ffulloaarredon2</v>
      </c>
      <c r="C983" s="8" t="s">
        <v>4010</v>
      </c>
      <c r="D983" s="9" t="s">
        <v>4011</v>
      </c>
      <c r="E983" s="10" t="str">
        <f>HYPERLINK("https://twitter.com/ffulloaarredon2/status/1065814009113382912","1065814009113382912")</f>
        <v>1065814009113382912</v>
      </c>
      <c r="F983" s="11" t="s">
        <v>4012</v>
      </c>
      <c r="G983" s="12"/>
      <c r="H983" s="12"/>
      <c r="I983" s="13">
        <v>0</v>
      </c>
      <c r="J983" s="13">
        <v>0</v>
      </c>
      <c r="K983" s="14" t="str">
        <f t="shared" ref="K983:K986" si="171">HYPERLINK("http://twitter.com","Twitter Web Client")</f>
        <v>Twitter Web Client</v>
      </c>
      <c r="L983" s="13">
        <v>113</v>
      </c>
      <c r="M983" s="13">
        <v>149</v>
      </c>
      <c r="N983" s="13">
        <v>0</v>
      </c>
      <c r="O983" s="15"/>
      <c r="P983" s="6">
        <v>42908.370405092588</v>
      </c>
      <c r="Q983" s="17" t="s">
        <v>1282</v>
      </c>
      <c r="R983" s="18" t="s">
        <v>4013</v>
      </c>
      <c r="S983" s="12"/>
      <c r="T983" s="12"/>
      <c r="U983" s="10" t="str">
        <f>HYPERLINK("https://pbs.twimg.com/profile_images/878662257663660032/PAJHuNqb.jpg","View")</f>
        <v>View</v>
      </c>
    </row>
    <row r="984" spans="1:21" ht="61.2">
      <c r="A984" s="6">
        <v>43427.198761574073</v>
      </c>
      <c r="B984" s="7" t="str">
        <f t="shared" ref="B984:B986" si="172">HYPERLINK("https://twitter.com/EmbaCuba_Haiti","@EmbaCuba_Haiti")</f>
        <v>@EmbaCuba_Haiti</v>
      </c>
      <c r="C984" s="8" t="s">
        <v>4014</v>
      </c>
      <c r="D984" s="9" t="s">
        <v>4015</v>
      </c>
      <c r="E984" s="10" t="str">
        <f>HYPERLINK("https://twitter.com/EmbaCuba_Haiti/status/1065813747124617216","1065813747124617216")</f>
        <v>1065813747124617216</v>
      </c>
      <c r="F984" s="12"/>
      <c r="G984" s="11" t="s">
        <v>4016</v>
      </c>
      <c r="H984" s="12"/>
      <c r="I984" s="13">
        <v>2</v>
      </c>
      <c r="J984" s="13">
        <v>2</v>
      </c>
      <c r="K984" s="14" t="str">
        <f t="shared" si="171"/>
        <v>Twitter Web Client</v>
      </c>
      <c r="L984" s="13">
        <v>4834</v>
      </c>
      <c r="M984" s="13">
        <v>5212</v>
      </c>
      <c r="N984" s="13">
        <v>66</v>
      </c>
      <c r="O984" s="15"/>
      <c r="P984" s="6">
        <v>41914.6800462963</v>
      </c>
      <c r="Q984" s="17" t="s">
        <v>4017</v>
      </c>
      <c r="R984" s="19"/>
      <c r="S984" s="11" t="s">
        <v>4018</v>
      </c>
      <c r="T984" s="12"/>
      <c r="U984" s="10" t="str">
        <f t="shared" ref="U984:U986" si="173">HYPERLINK("https://pbs.twimg.com/profile_images/842034557092261888/NuBrlsPy.jpg","View")</f>
        <v>View</v>
      </c>
    </row>
    <row r="985" spans="1:21" ht="61.2">
      <c r="A985" s="6">
        <v>43427.196585648147</v>
      </c>
      <c r="B985" s="7" t="str">
        <f t="shared" si="172"/>
        <v>@EmbaCuba_Haiti</v>
      </c>
      <c r="C985" s="8" t="s">
        <v>4014</v>
      </c>
      <c r="D985" s="9" t="s">
        <v>4019</v>
      </c>
      <c r="E985" s="10" t="str">
        <f>HYPERLINK("https://twitter.com/EmbaCuba_Haiti/status/1065812956812886016","1065812956812886016")</f>
        <v>1065812956812886016</v>
      </c>
      <c r="F985" s="12"/>
      <c r="G985" s="11" t="s">
        <v>4020</v>
      </c>
      <c r="H985" s="12"/>
      <c r="I985" s="13">
        <v>1</v>
      </c>
      <c r="J985" s="13">
        <v>1</v>
      </c>
      <c r="K985" s="14" t="str">
        <f t="shared" si="171"/>
        <v>Twitter Web Client</v>
      </c>
      <c r="L985" s="13">
        <v>4834</v>
      </c>
      <c r="M985" s="13">
        <v>5212</v>
      </c>
      <c r="N985" s="13">
        <v>66</v>
      </c>
      <c r="O985" s="15"/>
      <c r="P985" s="6">
        <v>41914.6800462963</v>
      </c>
      <c r="Q985" s="17" t="s">
        <v>4017</v>
      </c>
      <c r="R985" s="19"/>
      <c r="S985" s="11" t="s">
        <v>4018</v>
      </c>
      <c r="T985" s="12"/>
      <c r="U985" s="10" t="str">
        <f t="shared" si="173"/>
        <v>View</v>
      </c>
    </row>
    <row r="986" spans="1:21" ht="51">
      <c r="A986" s="6">
        <v>43427.193923611107</v>
      </c>
      <c r="B986" s="7" t="str">
        <f t="shared" si="172"/>
        <v>@EmbaCuba_Haiti</v>
      </c>
      <c r="C986" s="8" t="s">
        <v>4014</v>
      </c>
      <c r="D986" s="9" t="s">
        <v>4021</v>
      </c>
      <c r="E986" s="10" t="str">
        <f>HYPERLINK("https://twitter.com/EmbaCuba_Haiti/status/1065811992886353922","1065811992886353922")</f>
        <v>1065811992886353922</v>
      </c>
      <c r="F986" s="12"/>
      <c r="G986" s="11" t="s">
        <v>4022</v>
      </c>
      <c r="H986" s="12"/>
      <c r="I986" s="13">
        <v>1</v>
      </c>
      <c r="J986" s="13">
        <v>2</v>
      </c>
      <c r="K986" s="14" t="str">
        <f t="shared" si="171"/>
        <v>Twitter Web Client</v>
      </c>
      <c r="L986" s="13">
        <v>4834</v>
      </c>
      <c r="M986" s="13">
        <v>5212</v>
      </c>
      <c r="N986" s="13">
        <v>66</v>
      </c>
      <c r="O986" s="15"/>
      <c r="P986" s="6">
        <v>41914.6800462963</v>
      </c>
      <c r="Q986" s="17" t="s">
        <v>4017</v>
      </c>
      <c r="R986" s="19"/>
      <c r="S986" s="11" t="s">
        <v>4018</v>
      </c>
      <c r="T986" s="12"/>
      <c r="U986" s="10" t="str">
        <f t="shared" si="173"/>
        <v>View</v>
      </c>
    </row>
    <row r="987" spans="1:21" ht="30.6">
      <c r="A987" s="6">
        <v>43427.193877314814</v>
      </c>
      <c r="B987" s="7" t="str">
        <f>HYPERLINK("https://twitter.com/expresochiapas","@expresochiapas")</f>
        <v>@expresochiapas</v>
      </c>
      <c r="C987" s="8" t="s">
        <v>4023</v>
      </c>
      <c r="D987" s="9" t="s">
        <v>4024</v>
      </c>
      <c r="E987" s="10" t="str">
        <f>HYPERLINK("https://twitter.com/expresochiapas/status/1065811974565564416","1065811974565564416")</f>
        <v>1065811974565564416</v>
      </c>
      <c r="F987" s="11" t="s">
        <v>4025</v>
      </c>
      <c r="G987" s="12"/>
      <c r="H987" s="12"/>
      <c r="I987" s="13">
        <v>0</v>
      </c>
      <c r="J987" s="13">
        <v>0</v>
      </c>
      <c r="K987" s="14" t="str">
        <f>HYPERLINK("http://www.facebook.com/twitter","Facebook")</f>
        <v>Facebook</v>
      </c>
      <c r="L987" s="13">
        <v>868</v>
      </c>
      <c r="M987" s="13">
        <v>313</v>
      </c>
      <c r="N987" s="13">
        <v>28</v>
      </c>
      <c r="O987" s="15"/>
      <c r="P987" s="6">
        <v>40327.726990740739</v>
      </c>
      <c r="Q987" s="17" t="s">
        <v>4026</v>
      </c>
      <c r="R987" s="19"/>
      <c r="S987" s="11" t="s">
        <v>4027</v>
      </c>
      <c r="T987" s="12"/>
      <c r="U987" s="10" t="str">
        <f>HYPERLINK("https://pbs.twimg.com/profile_images/989162530684583936/0SVrV4Qz.jpg","View")</f>
        <v>View</v>
      </c>
    </row>
    <row r="988" spans="1:21" ht="40.799999999999997">
      <c r="A988" s="6">
        <v>43427.193518518514</v>
      </c>
      <c r="B988" s="7" t="str">
        <f>HYPERLINK("https://twitter.com/IsmaelTobon","@IsmaelTobon")</f>
        <v>@IsmaelTobon</v>
      </c>
      <c r="C988" s="8" t="s">
        <v>4028</v>
      </c>
      <c r="D988" s="9" t="s">
        <v>2760</v>
      </c>
      <c r="E988" s="10" t="str">
        <f>HYPERLINK("https://twitter.com/IsmaelTobon/status/1065811845716606977","1065811845716606977")</f>
        <v>1065811845716606977</v>
      </c>
      <c r="F988" s="11" t="s">
        <v>4029</v>
      </c>
      <c r="G988" s="12"/>
      <c r="H988" s="12"/>
      <c r="I988" s="13">
        <v>0</v>
      </c>
      <c r="J988" s="13">
        <v>0</v>
      </c>
      <c r="K988" s="14" t="str">
        <f>HYPERLINK("http://twitter.com/download/android","Twitter for Android")</f>
        <v>Twitter for Android</v>
      </c>
      <c r="L988" s="13">
        <v>1587</v>
      </c>
      <c r="M988" s="13">
        <v>1142</v>
      </c>
      <c r="N988" s="13">
        <v>10</v>
      </c>
      <c r="O988" s="15"/>
      <c r="P988" s="6">
        <v>41837.030358796299</v>
      </c>
      <c r="Q988" s="17" t="s">
        <v>4030</v>
      </c>
      <c r="R988" s="18" t="s">
        <v>4031</v>
      </c>
      <c r="S988" s="11" t="s">
        <v>4032</v>
      </c>
      <c r="T988" s="12"/>
      <c r="U988" s="10" t="str">
        <f>HYPERLINK("https://pbs.twimg.com/profile_images/1059993755254697984/jiXDfx_5.jpg","View")</f>
        <v>View</v>
      </c>
    </row>
    <row r="989" spans="1:21" ht="61.2">
      <c r="A989" s="6">
        <v>43427.19259259259</v>
      </c>
      <c r="B989" s="7" t="str">
        <f>HYPERLINK("https://twitter.com/EmbaCuba_Haiti","@EmbaCuba_Haiti")</f>
        <v>@EmbaCuba_Haiti</v>
      </c>
      <c r="C989" s="8" t="s">
        <v>4014</v>
      </c>
      <c r="D989" s="9" t="s">
        <v>4033</v>
      </c>
      <c r="E989" s="10" t="str">
        <f>HYPERLINK("https://twitter.com/EmbaCuba_Haiti/status/1065811509467582464","1065811509467582464")</f>
        <v>1065811509467582464</v>
      </c>
      <c r="F989" s="12"/>
      <c r="G989" s="11" t="s">
        <v>4034</v>
      </c>
      <c r="H989" s="12"/>
      <c r="I989" s="13">
        <v>0</v>
      </c>
      <c r="J989" s="13">
        <v>1</v>
      </c>
      <c r="K989" s="14" t="str">
        <f t="shared" ref="K989:K991" si="174">HYPERLINK("http://twitter.com","Twitter Web Client")</f>
        <v>Twitter Web Client</v>
      </c>
      <c r="L989" s="13">
        <v>4834</v>
      </c>
      <c r="M989" s="13">
        <v>5212</v>
      </c>
      <c r="N989" s="13">
        <v>66</v>
      </c>
      <c r="O989" s="15"/>
      <c r="P989" s="6">
        <v>41914.6800462963</v>
      </c>
      <c r="Q989" s="17" t="s">
        <v>4017</v>
      </c>
      <c r="R989" s="19"/>
      <c r="S989" s="11" t="s">
        <v>4018</v>
      </c>
      <c r="T989" s="12"/>
      <c r="U989" s="10" t="str">
        <f>HYPERLINK("https://pbs.twimg.com/profile_images/842034557092261888/NuBrlsPy.jpg","View")</f>
        <v>View</v>
      </c>
    </row>
    <row r="990" spans="1:21" ht="30.6">
      <c r="A990" s="6">
        <v>43427.192511574074</v>
      </c>
      <c r="B990" s="7" t="str">
        <f t="shared" ref="B990:B991" si="175">HYPERLINK("https://twitter.com/vmarillanca","@vmarillanca")</f>
        <v>@vmarillanca</v>
      </c>
      <c r="C990" s="8" t="s">
        <v>4035</v>
      </c>
      <c r="D990" s="9" t="s">
        <v>162</v>
      </c>
      <c r="E990" s="10" t="str">
        <f>HYPERLINK("https://twitter.com/vmarillanca/status/1065811481713889280","1065811481713889280")</f>
        <v>1065811481713889280</v>
      </c>
      <c r="F990" s="11" t="s">
        <v>163</v>
      </c>
      <c r="G990" s="12"/>
      <c r="H990" s="12"/>
      <c r="I990" s="13">
        <v>0</v>
      </c>
      <c r="J990" s="13">
        <v>0</v>
      </c>
      <c r="K990" s="14" t="str">
        <f t="shared" si="174"/>
        <v>Twitter Web Client</v>
      </c>
      <c r="L990" s="13">
        <v>237</v>
      </c>
      <c r="M990" s="13">
        <v>1005</v>
      </c>
      <c r="N990" s="13">
        <v>17</v>
      </c>
      <c r="O990" s="15"/>
      <c r="P990" s="6">
        <v>41026.335231481484</v>
      </c>
      <c r="Q990" s="17" t="s">
        <v>4036</v>
      </c>
      <c r="R990" s="19"/>
      <c r="S990" s="12"/>
      <c r="T990" s="12"/>
      <c r="U990" s="10" t="str">
        <f t="shared" ref="U990:U991" si="176">HYPERLINK("https://pbs.twimg.com/profile_images/2968463303/8e723b48b59e6631f56818d43dd9c89d.jpeg","View")</f>
        <v>View</v>
      </c>
    </row>
    <row r="991" spans="1:21" ht="20.399999999999999">
      <c r="A991" s="6">
        <v>43427.191388888888</v>
      </c>
      <c r="B991" s="7" t="str">
        <f t="shared" si="175"/>
        <v>@vmarillanca</v>
      </c>
      <c r="C991" s="8" t="s">
        <v>4035</v>
      </c>
      <c r="D991" s="9" t="s">
        <v>232</v>
      </c>
      <c r="E991" s="10" t="str">
        <f>HYPERLINK("https://twitter.com/vmarillanca/status/1065811073771732992","1065811073771732992")</f>
        <v>1065811073771732992</v>
      </c>
      <c r="F991" s="11" t="s">
        <v>233</v>
      </c>
      <c r="G991" s="12"/>
      <c r="H991" s="12"/>
      <c r="I991" s="13">
        <v>0</v>
      </c>
      <c r="J991" s="13">
        <v>0</v>
      </c>
      <c r="K991" s="14" t="str">
        <f t="shared" si="174"/>
        <v>Twitter Web Client</v>
      </c>
      <c r="L991" s="13">
        <v>237</v>
      </c>
      <c r="M991" s="13">
        <v>1005</v>
      </c>
      <c r="N991" s="13">
        <v>17</v>
      </c>
      <c r="O991" s="15"/>
      <c r="P991" s="6">
        <v>41026.335231481484</v>
      </c>
      <c r="Q991" s="17" t="s">
        <v>4036</v>
      </c>
      <c r="R991" s="19"/>
      <c r="S991" s="12"/>
      <c r="T991" s="12"/>
      <c r="U991" s="10" t="str">
        <f t="shared" si="176"/>
        <v>View</v>
      </c>
    </row>
    <row r="992" spans="1:21" ht="40.799999999999997">
      <c r="A992" s="6">
        <v>43427.190995370373</v>
      </c>
      <c r="B992" s="7" t="str">
        <f>HYPERLINK("https://twitter.com/informador_INT","@informador_INT")</f>
        <v>@informador_INT</v>
      </c>
      <c r="C992" s="8" t="s">
        <v>4037</v>
      </c>
      <c r="D992" s="9" t="s">
        <v>4038</v>
      </c>
      <c r="E992" s="10" t="str">
        <f>HYPERLINK("https://twitter.com/informador_INT/status/1065810933111508992","1065810933111508992")</f>
        <v>1065810933111508992</v>
      </c>
      <c r="F992" s="11" t="s">
        <v>4039</v>
      </c>
      <c r="G992" s="12"/>
      <c r="H992" s="12"/>
      <c r="I992" s="13">
        <v>1</v>
      </c>
      <c r="J992" s="13">
        <v>1</v>
      </c>
      <c r="K992" s="14" t="str">
        <f>HYPERLINK("https://www.hootsuite.com","Hootsuite Inc.")</f>
        <v>Hootsuite Inc.</v>
      </c>
      <c r="L992" s="13">
        <v>9339</v>
      </c>
      <c r="M992" s="13">
        <v>104</v>
      </c>
      <c r="N992" s="13">
        <v>139</v>
      </c>
      <c r="O992" s="15"/>
      <c r="P992" s="6">
        <v>41198.976076388892</v>
      </c>
      <c r="Q992" s="17" t="s">
        <v>4040</v>
      </c>
      <c r="R992" s="18" t="s">
        <v>4041</v>
      </c>
      <c r="S992" s="11" t="s">
        <v>4042</v>
      </c>
      <c r="T992" s="12"/>
      <c r="U992" s="10" t="str">
        <f>HYPERLINK("https://pbs.twimg.com/profile_images/912734965791563776/M4uS7DRm.jpg","View")</f>
        <v>View</v>
      </c>
    </row>
    <row r="993" spans="1:21" ht="61.2">
      <c r="A993" s="6">
        <v>43427.187199074076</v>
      </c>
      <c r="B993" s="7" t="str">
        <f>HYPERLINK("https://twitter.com/EmbaCuba_Haiti","@EmbaCuba_Haiti")</f>
        <v>@EmbaCuba_Haiti</v>
      </c>
      <c r="C993" s="8" t="s">
        <v>4014</v>
      </c>
      <c r="D993" s="9" t="s">
        <v>4043</v>
      </c>
      <c r="E993" s="10" t="str">
        <f>HYPERLINK("https://twitter.com/EmbaCuba_Haiti/status/1065809557702828038","1065809557702828038")</f>
        <v>1065809557702828038</v>
      </c>
      <c r="F993" s="12"/>
      <c r="G993" s="11" t="s">
        <v>4044</v>
      </c>
      <c r="H993" s="12"/>
      <c r="I993" s="13">
        <v>0</v>
      </c>
      <c r="J993" s="13">
        <v>1</v>
      </c>
      <c r="K993" s="14" t="str">
        <f>HYPERLINK("http://twitter.com","Twitter Web Client")</f>
        <v>Twitter Web Client</v>
      </c>
      <c r="L993" s="13">
        <v>4834</v>
      </c>
      <c r="M993" s="13">
        <v>5212</v>
      </c>
      <c r="N993" s="13">
        <v>66</v>
      </c>
      <c r="O993" s="15"/>
      <c r="P993" s="6">
        <v>41914.6800462963</v>
      </c>
      <c r="Q993" s="17" t="s">
        <v>4017</v>
      </c>
      <c r="R993" s="19"/>
      <c r="S993" s="11" t="s">
        <v>4018</v>
      </c>
      <c r="T993" s="12"/>
      <c r="U993" s="10" t="str">
        <f>HYPERLINK("https://pbs.twimg.com/profile_images/842034557092261888/NuBrlsPy.jpg","View")</f>
        <v>View</v>
      </c>
    </row>
    <row r="994" spans="1:21" ht="51">
      <c r="A994" s="6">
        <v>43427.186921296292</v>
      </c>
      <c r="B994" s="7" t="str">
        <f>HYPERLINK("https://twitter.com/lmablanc","@lmablanc")</f>
        <v>@lmablanc</v>
      </c>
      <c r="C994" s="8" t="s">
        <v>4045</v>
      </c>
      <c r="D994" s="9" t="s">
        <v>4046</v>
      </c>
      <c r="E994" s="10" t="str">
        <f>HYPERLINK("https://twitter.com/lmablanc/status/1065809456687181824","1065809456687181824")</f>
        <v>1065809456687181824</v>
      </c>
      <c r="F994" s="11" t="s">
        <v>4047</v>
      </c>
      <c r="G994" s="12"/>
      <c r="H994" s="12"/>
      <c r="I994" s="13">
        <v>57</v>
      </c>
      <c r="J994" s="13">
        <v>37</v>
      </c>
      <c r="K994" s="14" t="str">
        <f>HYPERLINK("http://twitter.com/download/iphone","Twitter for iPhone")</f>
        <v>Twitter for iPhone</v>
      </c>
      <c r="L994" s="13">
        <v>1354</v>
      </c>
      <c r="M994" s="13">
        <v>1233</v>
      </c>
      <c r="N994" s="13">
        <v>1</v>
      </c>
      <c r="O994" s="15"/>
      <c r="P994" s="6">
        <v>42889.458738425921</v>
      </c>
      <c r="Q994" s="12"/>
      <c r="R994" s="19"/>
      <c r="S994" s="12"/>
      <c r="T994" s="12"/>
      <c r="U994" s="10" t="str">
        <f>HYPERLINK("https://pbs.twimg.com/profile_images/993602675488055297/TE8HNDlS.jpg","View")</f>
        <v>View</v>
      </c>
    </row>
    <row r="995" spans="1:21" ht="20.399999999999999">
      <c r="A995" s="6">
        <v>43427.18644675926</v>
      </c>
      <c r="B995" s="7" t="str">
        <f>HYPERLINK("https://twitter.com/estoescuba","@estoescuba")</f>
        <v>@estoescuba</v>
      </c>
      <c r="C995" s="8" t="s">
        <v>4048</v>
      </c>
      <c r="D995" s="9" t="s">
        <v>4049</v>
      </c>
      <c r="E995" s="10" t="str">
        <f>HYPERLINK("https://twitter.com/estoescuba/status/1065809282233507840","1065809282233507840")</f>
        <v>1065809282233507840</v>
      </c>
      <c r="F995" s="11" t="s">
        <v>4050</v>
      </c>
      <c r="G995" s="11" t="s">
        <v>4051</v>
      </c>
      <c r="H995" s="12"/>
      <c r="I995" s="13">
        <v>0</v>
      </c>
      <c r="J995" s="13">
        <v>0</v>
      </c>
      <c r="K995" s="14" t="str">
        <f>HYPERLINK("http://publicize.wp.com/","WordPress.com")</f>
        <v>WordPress.com</v>
      </c>
      <c r="L995" s="13">
        <v>5</v>
      </c>
      <c r="M995" s="13">
        <v>38</v>
      </c>
      <c r="N995" s="13">
        <v>0</v>
      </c>
      <c r="O995" s="15"/>
      <c r="P995" s="6">
        <v>43414.898113425923</v>
      </c>
      <c r="Q995" s="17" t="s">
        <v>839</v>
      </c>
      <c r="R995" s="18" t="s">
        <v>4052</v>
      </c>
      <c r="S995" s="11" t="s">
        <v>4053</v>
      </c>
      <c r="T995" s="12"/>
      <c r="U995" s="10" t="str">
        <f>HYPERLINK("https://pbs.twimg.com/profile_images/1061360042778284035/L4MGACSS.jpg","View")</f>
        <v>View</v>
      </c>
    </row>
    <row r="996" spans="1:21" ht="51">
      <c r="A996" s="6">
        <v>43427.186249999999</v>
      </c>
      <c r="B996" s="7" t="str">
        <f>HYPERLINK("https://twitter.com/habana_radio_cu","@habana_radio_cu")</f>
        <v>@habana_radio_cu</v>
      </c>
      <c r="C996" s="8" t="s">
        <v>4054</v>
      </c>
      <c r="D996" s="9" t="s">
        <v>4055</v>
      </c>
      <c r="E996" s="10" t="str">
        <f>HYPERLINK("https://twitter.com/habana_radio_cu/status/1065809212419334144","1065809212419334144")</f>
        <v>1065809212419334144</v>
      </c>
      <c r="F996" s="11" t="s">
        <v>4056</v>
      </c>
      <c r="G996" s="12"/>
      <c r="H996" s="12"/>
      <c r="I996" s="13">
        <v>1</v>
      </c>
      <c r="J996" s="13">
        <v>0</v>
      </c>
      <c r="K996" s="14" t="str">
        <f>HYPERLINK("http://www.facebook.com/twitter","Facebook")</f>
        <v>Facebook</v>
      </c>
      <c r="L996" s="13">
        <v>71</v>
      </c>
      <c r="M996" s="13">
        <v>183</v>
      </c>
      <c r="N996" s="13">
        <v>1</v>
      </c>
      <c r="O996" s="15"/>
      <c r="P996" s="6">
        <v>43077.952337962968</v>
      </c>
      <c r="Q996" s="17" t="s">
        <v>40</v>
      </c>
      <c r="R996" s="19"/>
      <c r="S996" s="11" t="s">
        <v>4057</v>
      </c>
      <c r="T996" s="12"/>
      <c r="U996" s="10" t="str">
        <f>HYPERLINK("https://pbs.twimg.com/profile_images/939253333448990720/r2CjBO_z.jpg","View")</f>
        <v>View</v>
      </c>
    </row>
    <row r="997" spans="1:21" ht="51">
      <c r="A997" s="6">
        <v>43427.185902777783</v>
      </c>
      <c r="B997" s="7" t="str">
        <f>HYPERLINK("https://twitter.com/InformateMX","@InformateMX")</f>
        <v>@InformateMX</v>
      </c>
      <c r="C997" s="8" t="s">
        <v>4058</v>
      </c>
      <c r="D997" s="9" t="s">
        <v>4059</v>
      </c>
      <c r="E997" s="10" t="str">
        <f>HYPERLINK("https://twitter.com/InformateMX/status/1065809086237687808","1065809086237687808")</f>
        <v>1065809086237687808</v>
      </c>
      <c r="F997" s="11" t="s">
        <v>4060</v>
      </c>
      <c r="G997" s="12"/>
      <c r="H997" s="12"/>
      <c r="I997" s="13">
        <v>0</v>
      </c>
      <c r="J997" s="13">
        <v>0</v>
      </c>
      <c r="K997" s="14" t="str">
        <f>HYPERLINK("https://www.informate.com.mx/","Infomx-joocial")</f>
        <v>Infomx-joocial</v>
      </c>
      <c r="L997" s="13">
        <v>8019</v>
      </c>
      <c r="M997" s="13">
        <v>4883</v>
      </c>
      <c r="N997" s="13">
        <v>137</v>
      </c>
      <c r="O997" s="15"/>
      <c r="P997" s="6">
        <v>40336.333668981482</v>
      </c>
      <c r="Q997" s="17" t="s">
        <v>790</v>
      </c>
      <c r="R997" s="18" t="s">
        <v>4061</v>
      </c>
      <c r="S997" s="11" t="s">
        <v>4062</v>
      </c>
      <c r="T997" s="12"/>
      <c r="U997" s="10" t="str">
        <f>HYPERLINK("https://pbs.twimg.com/profile_images/1007704315560058880/gUS269zA.jpg","View")</f>
        <v>View</v>
      </c>
    </row>
    <row r="998" spans="1:21" ht="40.799999999999997">
      <c r="A998" s="6">
        <v>43427.18582175926</v>
      </c>
      <c r="B998" s="7" t="str">
        <f>HYPERLINK("https://twitter.com/radiorelojcuba","@radiorelojcuba")</f>
        <v>@radiorelojcuba</v>
      </c>
      <c r="C998" s="8" t="s">
        <v>3963</v>
      </c>
      <c r="D998" s="9" t="s">
        <v>4063</v>
      </c>
      <c r="E998" s="10" t="str">
        <f>HYPERLINK("https://twitter.com/radiorelojcuba/status/1065809055694888963","1065809055694888963")</f>
        <v>1065809055694888963</v>
      </c>
      <c r="F998" s="11" t="s">
        <v>3925</v>
      </c>
      <c r="G998" s="12"/>
      <c r="H998" s="12"/>
      <c r="I998" s="13">
        <v>3</v>
      </c>
      <c r="J998" s="13">
        <v>1</v>
      </c>
      <c r="K998" s="14" t="str">
        <f>HYPERLINK("https://ifttt.com","IFTTT")</f>
        <v>IFTTT</v>
      </c>
      <c r="L998" s="13">
        <v>13488</v>
      </c>
      <c r="M998" s="13">
        <v>4118</v>
      </c>
      <c r="N998" s="13">
        <v>192</v>
      </c>
      <c r="O998" s="15"/>
      <c r="P998" s="6">
        <v>40424.560694444444</v>
      </c>
      <c r="Q998" s="17" t="s">
        <v>1282</v>
      </c>
      <c r="R998" s="18" t="s">
        <v>3966</v>
      </c>
      <c r="S998" s="11" t="s">
        <v>3967</v>
      </c>
      <c r="T998" s="12"/>
      <c r="U998" s="10" t="str">
        <f>HYPERLINK("https://pbs.twimg.com/profile_images/1013804101728010242/PC4f4sQv.jpg","View")</f>
        <v>View</v>
      </c>
    </row>
    <row r="999" spans="1:21" ht="40.799999999999997">
      <c r="A999" s="6">
        <v>43427.184120370366</v>
      </c>
      <c r="B999" s="7" t="str">
        <f>HYPERLINK("https://twitter.com/MariseladBayamo","@MariseladBayamo")</f>
        <v>@MariseladBayamo</v>
      </c>
      <c r="C999" s="8" t="s">
        <v>3843</v>
      </c>
      <c r="D999" s="9" t="s">
        <v>4064</v>
      </c>
      <c r="E999" s="10" t="str">
        <f>HYPERLINK("https://twitter.com/MariseladBayamo/status/1065808438855442432","1065808438855442432")</f>
        <v>1065808438855442432</v>
      </c>
      <c r="F999" s="11" t="s">
        <v>4065</v>
      </c>
      <c r="G999" s="12"/>
      <c r="H999" s="12"/>
      <c r="I999" s="13">
        <v>0</v>
      </c>
      <c r="J999" s="13">
        <v>0</v>
      </c>
      <c r="K999" s="14" t="str">
        <f>HYPERLINK("http://www.facebook.com/twitter","Facebook")</f>
        <v>Facebook</v>
      </c>
      <c r="L999" s="13">
        <v>1449</v>
      </c>
      <c r="M999" s="13">
        <v>2314</v>
      </c>
      <c r="N999" s="13">
        <v>24</v>
      </c>
      <c r="O999" s="15"/>
      <c r="P999" s="6">
        <v>40444.887199074074</v>
      </c>
      <c r="Q999" s="17" t="s">
        <v>40</v>
      </c>
      <c r="R999" s="18" t="s">
        <v>3847</v>
      </c>
      <c r="S999" s="11" t="s">
        <v>3848</v>
      </c>
      <c r="T999" s="12"/>
      <c r="U999" s="10" t="str">
        <f>HYPERLINK("https://pbs.twimg.com/profile_images/428290450688974848/URX1k63Y.jpeg","View")</f>
        <v>View</v>
      </c>
    </row>
    <row r="1000" spans="1:21" ht="40.799999999999997">
      <c r="A1000" s="6">
        <v>43427.182627314818</v>
      </c>
      <c r="B1000" s="7" t="str">
        <f>HYPERLINK("https://twitter.com/Politica_Econom","@Politica_Econom")</f>
        <v>@Politica_Econom</v>
      </c>
      <c r="C1000" s="8" t="s">
        <v>4066</v>
      </c>
      <c r="D1000" s="9" t="s">
        <v>4067</v>
      </c>
      <c r="E1000" s="10" t="str">
        <f>HYPERLINK("https://twitter.com/Politica_Econom/status/1065807898364719104","1065807898364719104")</f>
        <v>1065807898364719104</v>
      </c>
      <c r="F1000" s="11" t="s">
        <v>1384</v>
      </c>
      <c r="G1000" s="12"/>
      <c r="H1000" s="12"/>
      <c r="I1000" s="13">
        <v>0</v>
      </c>
      <c r="J1000" s="13">
        <v>0</v>
      </c>
      <c r="K1000" s="14" t="str">
        <f>HYPERLINK("http://twitter.com/download/android","Twitter for Android")</f>
        <v>Twitter for Android</v>
      </c>
      <c r="L1000" s="13">
        <v>40</v>
      </c>
      <c r="M1000" s="13">
        <v>6</v>
      </c>
      <c r="N1000" s="13">
        <v>0</v>
      </c>
      <c r="O1000" s="15"/>
      <c r="P1000" s="6">
        <v>43256.684733796297</v>
      </c>
      <c r="Q1000" s="17" t="s">
        <v>4068</v>
      </c>
      <c r="R1000" s="18" t="s">
        <v>4069</v>
      </c>
      <c r="S1000" s="12"/>
      <c r="T1000" s="12"/>
      <c r="U1000" s="10" t="str">
        <f>HYPERLINK("https://pbs.twimg.com/profile_images/1056988942535282690/inrpHz8v.jpg","View")</f>
        <v>View</v>
      </c>
    </row>
    <row r="1001" spans="1:21" ht="20.399999999999999">
      <c r="A1001" s="6">
        <v>43427.182499999995</v>
      </c>
      <c r="B1001" s="7" t="str">
        <f>HYPERLINK("https://twitter.com/NoticiasVenezue","@NoticiasVenezue")</f>
        <v>@NoticiasVenezue</v>
      </c>
      <c r="C1001" s="8" t="s">
        <v>4070</v>
      </c>
      <c r="D1001" s="9" t="s">
        <v>1334</v>
      </c>
      <c r="E1001" s="10" t="str">
        <f>HYPERLINK("https://twitter.com/NoticiasVenezue/status/1065807853838053377","1065807853838053377")</f>
        <v>1065807853838053377</v>
      </c>
      <c r="F1001" s="11" t="s">
        <v>4071</v>
      </c>
      <c r="G1001" s="11" t="s">
        <v>4072</v>
      </c>
      <c r="H1001" s="12"/>
      <c r="I1001" s="13">
        <v>0</v>
      </c>
      <c r="J1001" s="13">
        <v>0</v>
      </c>
      <c r="K1001" s="14" t="str">
        <f>HYPERLINK("http://noticiasvenezuela.org/","Noticiasvenezuela.org")</f>
        <v>Noticiasvenezuela.org</v>
      </c>
      <c r="L1001" s="13">
        <v>847998</v>
      </c>
      <c r="M1001" s="13">
        <v>107736</v>
      </c>
      <c r="N1001" s="13">
        <v>4005</v>
      </c>
      <c r="O1001" s="16" t="s">
        <v>26</v>
      </c>
      <c r="P1001" s="6">
        <v>39960.368576388893</v>
      </c>
      <c r="Q1001" s="17" t="s">
        <v>383</v>
      </c>
      <c r="R1001" s="18" t="s">
        <v>4073</v>
      </c>
      <c r="S1001" s="11" t="s">
        <v>4074</v>
      </c>
      <c r="T1001" s="12"/>
      <c r="U1001" s="10" t="str">
        <f>HYPERLINK("https://pbs.twimg.com/profile_images/1051102549061849088/xDOWgbtI.jpg","View")</f>
        <v>View</v>
      </c>
    </row>
    <row r="1002" spans="1:21" ht="30.6">
      <c r="A1002" s="6">
        <v>43427.182303240741</v>
      </c>
      <c r="B1002" s="7" t="str">
        <f>HYPERLINK("https://twitter.com/cronostiempo","@cronostiempo")</f>
        <v>@cronostiempo</v>
      </c>
      <c r="C1002" s="8" t="s">
        <v>4075</v>
      </c>
      <c r="D1002" s="9" t="s">
        <v>3924</v>
      </c>
      <c r="E1002" s="10" t="str">
        <f>HYPERLINK("https://twitter.com/cronostiempo/status/1065807780567793666","1065807780567793666")</f>
        <v>1065807780567793666</v>
      </c>
      <c r="F1002" s="11" t="s">
        <v>3912</v>
      </c>
      <c r="G1002" s="12"/>
      <c r="H1002" s="12"/>
      <c r="I1002" s="13">
        <v>0</v>
      </c>
      <c r="J1002" s="13">
        <v>0</v>
      </c>
      <c r="K1002" s="14" t="str">
        <f>HYPERLINK("https://ifttt.com","IFTTT")</f>
        <v>IFTTT</v>
      </c>
      <c r="L1002" s="13">
        <v>310</v>
      </c>
      <c r="M1002" s="13">
        <v>134</v>
      </c>
      <c r="N1002" s="13">
        <v>12</v>
      </c>
      <c r="O1002" s="15"/>
      <c r="P1002" s="6">
        <v>39734.662152777775</v>
      </c>
      <c r="Q1002" s="17" t="s">
        <v>4076</v>
      </c>
      <c r="R1002" s="18" t="s">
        <v>4077</v>
      </c>
      <c r="S1002" s="11" t="s">
        <v>4078</v>
      </c>
      <c r="T1002" s="12"/>
      <c r="U1002" s="10" t="str">
        <f>HYPERLINK("https://pbs.twimg.com/profile_images/1621175937/cuba-cielo.jpg","View")</f>
        <v>View</v>
      </c>
    </row>
    <row r="1003" spans="1:21" ht="30.6">
      <c r="A1003" s="6">
        <v>43427.181666666671</v>
      </c>
      <c r="B1003" s="7" t="str">
        <f>HYPERLINK("https://twitter.com/EP_internac_cas","@EP_internac_cas")</f>
        <v>@EP_internac_cas</v>
      </c>
      <c r="C1003" s="8" t="s">
        <v>4079</v>
      </c>
      <c r="D1003" s="9" t="s">
        <v>4080</v>
      </c>
      <c r="E1003" s="10" t="str">
        <f>HYPERLINK("https://twitter.com/EP_internac_cas/status/1065807551785254912","1065807551785254912")</f>
        <v>1065807551785254912</v>
      </c>
      <c r="F1003" s="11" t="s">
        <v>4081</v>
      </c>
      <c r="G1003" s="12"/>
      <c r="H1003" s="12"/>
      <c r="I1003" s="13">
        <v>0</v>
      </c>
      <c r="J1003" s="13">
        <v>0</v>
      </c>
      <c r="K1003" s="14" t="str">
        <f>HYPERLINK("http://dogtrack.es","DogTrack_Oficial")</f>
        <v>DogTrack_Oficial</v>
      </c>
      <c r="L1003" s="13">
        <v>1311</v>
      </c>
      <c r="M1003" s="13">
        <v>786</v>
      </c>
      <c r="N1003" s="13">
        <v>74</v>
      </c>
      <c r="O1003" s="15"/>
      <c r="P1003" s="6">
        <v>40962.80541666667</v>
      </c>
      <c r="Q1003" s="17" t="s">
        <v>191</v>
      </c>
      <c r="R1003" s="18" t="s">
        <v>4082</v>
      </c>
      <c r="S1003" s="11" t="s">
        <v>4083</v>
      </c>
      <c r="T1003" s="12"/>
      <c r="U1003" s="10" t="str">
        <f>HYPERLINK("https://pbs.twimg.com/profile_images/875766534483922944/J87glDJf.jpg","View")</f>
        <v>View</v>
      </c>
    </row>
    <row r="1004" spans="1:21" ht="40.799999999999997">
      <c r="A1004" s="6">
        <v>43427.181574074071</v>
      </c>
      <c r="B1004" s="7" t="str">
        <f>HYPERLINK("https://twitter.com/albertoyoan","@albertoyoan")</f>
        <v>@albertoyoan</v>
      </c>
      <c r="C1004" s="8" t="s">
        <v>2957</v>
      </c>
      <c r="D1004" s="9" t="s">
        <v>4084</v>
      </c>
      <c r="E1004" s="10" t="str">
        <f>HYPERLINK("https://twitter.com/albertoyoan/status/1065807518557970432","1065807518557970432")</f>
        <v>1065807518557970432</v>
      </c>
      <c r="F1004" s="11" t="s">
        <v>3296</v>
      </c>
      <c r="G1004" s="12"/>
      <c r="H1004" s="12"/>
      <c r="I1004" s="13">
        <v>0</v>
      </c>
      <c r="J1004" s="13">
        <v>0</v>
      </c>
      <c r="K1004" s="14" t="str">
        <f>HYPERLINK("http://twitter.com/download/iphone","Twitter for iPhone")</f>
        <v>Twitter for iPhone</v>
      </c>
      <c r="L1004" s="13">
        <v>413</v>
      </c>
      <c r="M1004" s="13">
        <v>545</v>
      </c>
      <c r="N1004" s="13">
        <v>54</v>
      </c>
      <c r="O1004" s="15"/>
      <c r="P1004" s="6">
        <v>39916.855034722219</v>
      </c>
      <c r="Q1004" s="17" t="s">
        <v>27</v>
      </c>
      <c r="R1004" s="18" t="s">
        <v>2960</v>
      </c>
      <c r="S1004" s="11" t="s">
        <v>2961</v>
      </c>
      <c r="T1004" s="12"/>
      <c r="U1004" s="10" t="str">
        <f>HYPERLINK("https://pbs.twimg.com/profile_images/1008117810617372672/V01QR-L-.jpg","View")</f>
        <v>View</v>
      </c>
    </row>
    <row r="1005" spans="1:21" ht="20.399999999999999">
      <c r="A1005" s="6">
        <v>43427.181192129632</v>
      </c>
      <c r="B1005" s="7" t="str">
        <f>HYPERLINK("https://twitter.com/cubareloj","@cubareloj")</f>
        <v>@cubareloj</v>
      </c>
      <c r="C1005" s="8" t="s">
        <v>4085</v>
      </c>
      <c r="D1005" s="9" t="s">
        <v>3924</v>
      </c>
      <c r="E1005" s="10" t="str">
        <f>HYPERLINK("https://twitter.com/cubareloj/status/1065807379030261760","1065807379030261760")</f>
        <v>1065807379030261760</v>
      </c>
      <c r="F1005" s="11" t="s">
        <v>3925</v>
      </c>
      <c r="G1005" s="11" t="s">
        <v>4086</v>
      </c>
      <c r="H1005" s="12"/>
      <c r="I1005" s="13">
        <v>3</v>
      </c>
      <c r="J1005" s="13">
        <v>2</v>
      </c>
      <c r="K1005" s="14" t="str">
        <f>HYPERLINK("https://ifttt.com","IFTTT")</f>
        <v>IFTTT</v>
      </c>
      <c r="L1005" s="13">
        <v>1860</v>
      </c>
      <c r="M1005" s="13">
        <v>1834</v>
      </c>
      <c r="N1005" s="13">
        <v>16</v>
      </c>
      <c r="O1005" s="15"/>
      <c r="P1005" s="6">
        <v>41081.613344907411</v>
      </c>
      <c r="Q1005" s="17" t="s">
        <v>40</v>
      </c>
      <c r="R1005" s="18" t="s">
        <v>4087</v>
      </c>
      <c r="S1005" s="11" t="s">
        <v>152</v>
      </c>
      <c r="T1005" s="12"/>
      <c r="U1005" s="10" t="str">
        <f>HYPERLINK("https://pbs.twimg.com/profile_images/967805187208327168/x_wZMHf_.png","View")</f>
        <v>View</v>
      </c>
    </row>
    <row r="1006" spans="1:21" ht="20.399999999999999">
      <c r="A1006" s="6">
        <v>43427.17900462963</v>
      </c>
      <c r="B1006" s="7" t="str">
        <f>HYPERLINK("https://twitter.com/CiberCuba","@CiberCuba")</f>
        <v>@CiberCuba</v>
      </c>
      <c r="C1006" s="8" t="s">
        <v>4088</v>
      </c>
      <c r="D1006" s="9" t="s">
        <v>4089</v>
      </c>
      <c r="E1006" s="10" t="str">
        <f>HYPERLINK("https://twitter.com/CiberCuba/status/1065806587732746241","1065806587732746241")</f>
        <v>1065806587732746241</v>
      </c>
      <c r="F1006" s="11" t="s">
        <v>4090</v>
      </c>
      <c r="G1006" s="12"/>
      <c r="H1006" s="12"/>
      <c r="I1006" s="13">
        <v>1</v>
      </c>
      <c r="J1006" s="13">
        <v>0</v>
      </c>
      <c r="K1006" s="14" t="str">
        <f>HYPERLINK("https://dlvrit.com/","dlvr.it")</f>
        <v>dlvr.it</v>
      </c>
      <c r="L1006" s="13">
        <v>7289</v>
      </c>
      <c r="M1006" s="13">
        <v>76</v>
      </c>
      <c r="N1006" s="13">
        <v>80</v>
      </c>
      <c r="O1006" s="15"/>
      <c r="P1006" s="6">
        <v>41705.623449074075</v>
      </c>
      <c r="Q1006" s="17" t="s">
        <v>1282</v>
      </c>
      <c r="R1006" s="18" t="s">
        <v>4091</v>
      </c>
      <c r="S1006" s="11" t="s">
        <v>4092</v>
      </c>
      <c r="T1006" s="12"/>
      <c r="U1006" s="10" t="str">
        <f>HYPERLINK("https://pbs.twimg.com/profile_images/626518796006723584/uNl-pQOp.png","View")</f>
        <v>View</v>
      </c>
    </row>
    <row r="1007" spans="1:21" ht="30.6">
      <c r="A1007" s="6">
        <v>43427.178518518514</v>
      </c>
      <c r="B1007" s="7" t="str">
        <f>HYPERLINK("https://twitter.com/eppolitica_cas","@eppolitica_cas")</f>
        <v>@eppolitica_cas</v>
      </c>
      <c r="C1007" s="8" t="s">
        <v>4093</v>
      </c>
      <c r="D1007" s="9" t="s">
        <v>4094</v>
      </c>
      <c r="E1007" s="10" t="str">
        <f>HYPERLINK("https://twitter.com/eppolitica_cas/status/1065806411727339521","1065806411727339521")</f>
        <v>1065806411727339521</v>
      </c>
      <c r="F1007" s="11" t="s">
        <v>4095</v>
      </c>
      <c r="G1007" s="12"/>
      <c r="H1007" s="12"/>
      <c r="I1007" s="13">
        <v>0</v>
      </c>
      <c r="J1007" s="13">
        <v>0</v>
      </c>
      <c r="K1007" s="14" t="str">
        <f>HYPERLINK("http://dogtrack.es","DogTrack_Oficial")</f>
        <v>DogTrack_Oficial</v>
      </c>
      <c r="L1007" s="13">
        <v>2176</v>
      </c>
      <c r="M1007" s="13">
        <v>417</v>
      </c>
      <c r="N1007" s="13">
        <v>94</v>
      </c>
      <c r="O1007" s="15"/>
      <c r="P1007" s="6">
        <v>40865.720717592594</v>
      </c>
      <c r="Q1007" s="17" t="s">
        <v>191</v>
      </c>
      <c r="R1007" s="18" t="s">
        <v>4096</v>
      </c>
      <c r="S1007" s="11" t="s">
        <v>4097</v>
      </c>
      <c r="T1007" s="12"/>
      <c r="U1007" s="10" t="str">
        <f>HYPERLINK("https://pbs.twimg.com/profile_images/875759451344691201/7oHgCmMx.jpg","View")</f>
        <v>View</v>
      </c>
    </row>
    <row r="1008" spans="1:21" ht="30.6">
      <c r="A1008" s="6">
        <v>43427.178263888884</v>
      </c>
      <c r="B1008" s="7" t="str">
        <f>HYPERLINK("https://twitter.com/ainhoa_mhoyos","@ainhoa_mhoyos")</f>
        <v>@ainhoa_mhoyos</v>
      </c>
      <c r="C1008" s="8" t="s">
        <v>871</v>
      </c>
      <c r="D1008" s="9" t="s">
        <v>4098</v>
      </c>
      <c r="E1008" s="10" t="str">
        <f>HYPERLINK("https://twitter.com/ainhoa_mhoyos/status/1065806316617240576","1065806316617240576")</f>
        <v>1065806316617240576</v>
      </c>
      <c r="F1008" s="12"/>
      <c r="G1008" s="11" t="s">
        <v>4099</v>
      </c>
      <c r="H1008" s="12"/>
      <c r="I1008" s="13">
        <v>16</v>
      </c>
      <c r="J1008" s="13">
        <v>20</v>
      </c>
      <c r="K1008" s="14" t="str">
        <f>HYPERLINK("http://twitter.com/download/iphone","Twitter for iPhone")</f>
        <v>Twitter for iPhone</v>
      </c>
      <c r="L1008" s="13">
        <v>689</v>
      </c>
      <c r="M1008" s="13">
        <v>777</v>
      </c>
      <c r="N1008" s="13">
        <v>17</v>
      </c>
      <c r="O1008" s="15"/>
      <c r="P1008" s="6">
        <v>40689.856469907405</v>
      </c>
      <c r="Q1008" s="12"/>
      <c r="R1008" s="18" t="s">
        <v>874</v>
      </c>
      <c r="S1008" s="11" t="s">
        <v>875</v>
      </c>
      <c r="T1008" s="12"/>
      <c r="U1008" s="10" t="str">
        <f>HYPERLINK("https://pbs.twimg.com/profile_images/788468170524950528/aetGUEYr.jpg","View")</f>
        <v>View</v>
      </c>
    </row>
    <row r="1009" spans="1:21" ht="51">
      <c r="A1009" s="6">
        <v>43427.177268518513</v>
      </c>
      <c r="B1009" s="7" t="str">
        <f>HYPERLINK("https://twitter.com/efrainreiser1","@efrainreiser1")</f>
        <v>@efrainreiser1</v>
      </c>
      <c r="C1009" s="8" t="s">
        <v>4100</v>
      </c>
      <c r="D1009" s="9" t="s">
        <v>4101</v>
      </c>
      <c r="E1009" s="10" t="str">
        <f>HYPERLINK("https://twitter.com/efrainreiser1/status/1065805957882626048","1065805957882626048")</f>
        <v>1065805957882626048</v>
      </c>
      <c r="F1009" s="11" t="s">
        <v>4102</v>
      </c>
      <c r="G1009" s="12"/>
      <c r="H1009" s="12"/>
      <c r="I1009" s="13">
        <v>1</v>
      </c>
      <c r="J1009" s="13">
        <v>0</v>
      </c>
      <c r="K1009" s="14" t="str">
        <f>HYPERLINK("http://twitter.com","Twitter Web Client")</f>
        <v>Twitter Web Client</v>
      </c>
      <c r="L1009" s="13">
        <v>265</v>
      </c>
      <c r="M1009" s="13">
        <v>1100</v>
      </c>
      <c r="N1009" s="13">
        <v>1</v>
      </c>
      <c r="O1009" s="15"/>
      <c r="P1009" s="6">
        <v>42918.527881944443</v>
      </c>
      <c r="Q1009" s="12"/>
      <c r="R1009" s="19"/>
      <c r="S1009" s="12"/>
      <c r="T1009" s="12"/>
      <c r="U1009" s="10" t="str">
        <f>HYPERLINK("https://pbs.twimg.com/profile_images/1001476118694817792/FCxLZ9Nl.jpg","View")</f>
        <v>View</v>
      </c>
    </row>
    <row r="1010" spans="1:21" ht="30.6">
      <c r="A1010" s="6">
        <v>43427.175763888888</v>
      </c>
      <c r="B1010" s="7" t="str">
        <f>HYPERLINK("https://twitter.com/carlespastor","@carlespastor")</f>
        <v>@carlespastor</v>
      </c>
      <c r="C1010" s="8" t="s">
        <v>1098</v>
      </c>
      <c r="D1010" s="9" t="s">
        <v>4103</v>
      </c>
      <c r="E1010" s="10" t="str">
        <f>HYPERLINK("https://twitter.com/carlespastor/status/1065805409758392320","1065805409758392320")</f>
        <v>1065805409758392320</v>
      </c>
      <c r="F1010" s="11" t="s">
        <v>4104</v>
      </c>
      <c r="G1010" s="12"/>
      <c r="H1010" s="12"/>
      <c r="I1010" s="13">
        <v>1</v>
      </c>
      <c r="J1010" s="13">
        <v>0</v>
      </c>
      <c r="K1010" s="14" t="str">
        <f>HYPERLINK("http://twitter.com/#!/download/ipad","Twitter for iPad")</f>
        <v>Twitter for iPad</v>
      </c>
      <c r="L1010" s="13">
        <v>8035</v>
      </c>
      <c r="M1010" s="13">
        <v>7618</v>
      </c>
      <c r="N1010" s="13">
        <v>82</v>
      </c>
      <c r="O1010" s="15"/>
      <c r="P1010" s="6">
        <v>40078.539143518516</v>
      </c>
      <c r="Q1010" s="17" t="s">
        <v>1101</v>
      </c>
      <c r="R1010" s="18" t="s">
        <v>1102</v>
      </c>
      <c r="S1010" s="11" t="s">
        <v>1103</v>
      </c>
      <c r="T1010" s="12"/>
      <c r="U1010" s="10" t="str">
        <f>HYPERLINK("https://pbs.twimg.com/profile_images/974682861063360512/BxPAgqMX.jpg","View")</f>
        <v>View</v>
      </c>
    </row>
    <row r="1011" spans="1:21" ht="102">
      <c r="A1011" s="6">
        <v>43427.175740740742</v>
      </c>
      <c r="B1011" s="7" t="str">
        <f t="shared" ref="B1011:B1012" si="177">HYPERLINK("https://twitter.com/VijilJosefina","@VijilJosefina")</f>
        <v>@VijilJosefina</v>
      </c>
      <c r="C1011" s="8" t="s">
        <v>4105</v>
      </c>
      <c r="D1011" s="9" t="s">
        <v>4106</v>
      </c>
      <c r="E1011" s="10" t="str">
        <f>HYPERLINK("https://twitter.com/VijilJosefina/status/1065805402137395201","1065805402137395201")</f>
        <v>1065805402137395201</v>
      </c>
      <c r="F1011" s="11" t="s">
        <v>4107</v>
      </c>
      <c r="G1011" s="11" t="s">
        <v>4108</v>
      </c>
      <c r="H1011" s="12"/>
      <c r="I1011" s="13">
        <v>13</v>
      </c>
      <c r="J1011" s="13">
        <v>7</v>
      </c>
      <c r="K1011" s="14" t="str">
        <f t="shared" ref="K1011:K1012" si="178">HYPERLINK("http://twitter.com/download/iphone","Twitter for iPhone")</f>
        <v>Twitter for iPhone</v>
      </c>
      <c r="L1011" s="13">
        <v>837</v>
      </c>
      <c r="M1011" s="13">
        <v>127</v>
      </c>
      <c r="N1011" s="13">
        <v>1</v>
      </c>
      <c r="O1011" s="15"/>
      <c r="P1011" s="6">
        <v>43211.951736111107</v>
      </c>
      <c r="Q1011" s="17" t="s">
        <v>4109</v>
      </c>
      <c r="R1011" s="18" t="s">
        <v>4110</v>
      </c>
      <c r="S1011" s="11" t="s">
        <v>4111</v>
      </c>
      <c r="T1011" s="12"/>
      <c r="U1011" s="10" t="str">
        <f t="shared" ref="U1011:U1012" si="179">HYPERLINK("https://pbs.twimg.com/profile_images/1058412520829018113/jrA3VKkO.jpg","View")</f>
        <v>View</v>
      </c>
    </row>
    <row r="1012" spans="1:21" ht="102">
      <c r="A1012" s="6">
        <v>43427.175092592588</v>
      </c>
      <c r="B1012" s="7" t="str">
        <f t="shared" si="177"/>
        <v>@VijilJosefina</v>
      </c>
      <c r="C1012" s="8" t="s">
        <v>4105</v>
      </c>
      <c r="D1012" s="9" t="s">
        <v>4112</v>
      </c>
      <c r="E1012" s="10" t="str">
        <f>HYPERLINK("https://twitter.com/VijilJosefina/status/1065805169584160768","1065805169584160768")</f>
        <v>1065805169584160768</v>
      </c>
      <c r="F1012" s="11" t="s">
        <v>4113</v>
      </c>
      <c r="G1012" s="11" t="s">
        <v>4108</v>
      </c>
      <c r="H1012" s="12"/>
      <c r="I1012" s="13">
        <v>8</v>
      </c>
      <c r="J1012" s="13">
        <v>3</v>
      </c>
      <c r="K1012" s="14" t="str">
        <f t="shared" si="178"/>
        <v>Twitter for iPhone</v>
      </c>
      <c r="L1012" s="13">
        <v>837</v>
      </c>
      <c r="M1012" s="13">
        <v>127</v>
      </c>
      <c r="N1012" s="13">
        <v>1</v>
      </c>
      <c r="O1012" s="15"/>
      <c r="P1012" s="6">
        <v>43211.951736111107</v>
      </c>
      <c r="Q1012" s="17" t="s">
        <v>4109</v>
      </c>
      <c r="R1012" s="18" t="s">
        <v>4110</v>
      </c>
      <c r="S1012" s="11" t="s">
        <v>4111</v>
      </c>
      <c r="T1012" s="12"/>
      <c r="U1012" s="10" t="str">
        <f t="shared" si="179"/>
        <v>View</v>
      </c>
    </row>
    <row r="1013" spans="1:21" ht="40.799999999999997">
      <c r="A1013" s="6">
        <v>43427.173611111109</v>
      </c>
      <c r="B1013" s="7" t="str">
        <f>HYPERLINK("https://twitter.com/SputnikMundo","@SputnikMundo")</f>
        <v>@SputnikMundo</v>
      </c>
      <c r="C1013" s="8" t="s">
        <v>4114</v>
      </c>
      <c r="D1013" s="9" t="s">
        <v>2760</v>
      </c>
      <c r="E1013" s="10" t="str">
        <f>HYPERLINK("https://twitter.com/SputnikMundo/status/1065804630855229440","1065804630855229440")</f>
        <v>1065804630855229440</v>
      </c>
      <c r="F1013" s="11" t="s">
        <v>4029</v>
      </c>
      <c r="G1013" s="12"/>
      <c r="H1013" s="12"/>
      <c r="I1013" s="13">
        <v>6</v>
      </c>
      <c r="J1013" s="13">
        <v>5</v>
      </c>
      <c r="K1013" s="14" t="str">
        <f>HYPERLINK("https://about.twitter.com/products/tweetdeck","TweetDeck")</f>
        <v>TweetDeck</v>
      </c>
      <c r="L1013" s="13">
        <v>62300</v>
      </c>
      <c r="M1013" s="13">
        <v>148</v>
      </c>
      <c r="N1013" s="13">
        <v>1382</v>
      </c>
      <c r="O1013" s="16" t="s">
        <v>26</v>
      </c>
      <c r="P1013" s="6">
        <v>40590.534212962964</v>
      </c>
      <c r="Q1013" s="17" t="s">
        <v>4115</v>
      </c>
      <c r="R1013" s="18" t="s">
        <v>4116</v>
      </c>
      <c r="S1013" s="11" t="s">
        <v>4117</v>
      </c>
      <c r="T1013" s="12"/>
      <c r="U1013" s="10" t="str">
        <f>HYPERLINK("https://pbs.twimg.com/profile_images/1001124018030866432/SDDNffA0.jpg","View")</f>
        <v>View</v>
      </c>
    </row>
    <row r="1014" spans="1:21" ht="40.799999999999997">
      <c r="A1014" s="6">
        <v>43427.171574074076</v>
      </c>
      <c r="B1014" s="7" t="str">
        <f>HYPERLINK("https://twitter.com/Americateve","@Americateve")</f>
        <v>@Americateve</v>
      </c>
      <c r="C1014" s="8" t="s">
        <v>4118</v>
      </c>
      <c r="D1014" s="9" t="s">
        <v>2191</v>
      </c>
      <c r="E1014" s="10" t="str">
        <f>HYPERLINK("https://twitter.com/Americateve/status/1065803892233973761","1065803892233973761")</f>
        <v>1065803892233973761</v>
      </c>
      <c r="F1014" s="11" t="s">
        <v>4119</v>
      </c>
      <c r="G1014" s="11" t="s">
        <v>4120</v>
      </c>
      <c r="H1014" s="12"/>
      <c r="I1014" s="13">
        <v>0</v>
      </c>
      <c r="J1014" s="13">
        <v>0</v>
      </c>
      <c r="K1014" s="14" t="str">
        <f>HYPERLINK("https://dlvrit.com/","dlvr.it")</f>
        <v>dlvr.it</v>
      </c>
      <c r="L1014" s="13">
        <v>12265</v>
      </c>
      <c r="M1014" s="13">
        <v>1272</v>
      </c>
      <c r="N1014" s="13">
        <v>133</v>
      </c>
      <c r="O1014" s="15"/>
      <c r="P1014" s="6">
        <v>39927.862604166665</v>
      </c>
      <c r="Q1014" s="17" t="s">
        <v>2194</v>
      </c>
      <c r="R1014" s="18" t="s">
        <v>4121</v>
      </c>
      <c r="S1014" s="11" t="s">
        <v>4122</v>
      </c>
      <c r="T1014" s="12"/>
      <c r="U1014" s="10" t="str">
        <f>HYPERLINK("https://pbs.twimg.com/profile_images/3762880354/1ca88da1f339fc74e5ddd6734accd188.jpeg","View")</f>
        <v>View</v>
      </c>
    </row>
    <row r="1015" spans="1:21" ht="20.399999999999999">
      <c r="A1015" s="6">
        <v>43427.170208333337</v>
      </c>
      <c r="B1015" s="7" t="str">
        <f>HYPERLINK("https://twitter.com/NoticiasVenezue","@NoticiasVenezue")</f>
        <v>@NoticiasVenezue</v>
      </c>
      <c r="C1015" s="8" t="s">
        <v>4070</v>
      </c>
      <c r="D1015" s="9" t="s">
        <v>1334</v>
      </c>
      <c r="E1015" s="10" t="str">
        <f>HYPERLINK("https://twitter.com/NoticiasVenezue/status/1065803398065373184","1065803398065373184")</f>
        <v>1065803398065373184</v>
      </c>
      <c r="F1015" s="11" t="s">
        <v>4123</v>
      </c>
      <c r="G1015" s="12"/>
      <c r="H1015" s="12"/>
      <c r="I1015" s="13">
        <v>1</v>
      </c>
      <c r="J1015" s="13">
        <v>1</v>
      </c>
      <c r="K1015" s="14" t="str">
        <f>HYPERLINK("http://noticiasvenezuela.org/","Noticiasvenezuela.org")</f>
        <v>Noticiasvenezuela.org</v>
      </c>
      <c r="L1015" s="13">
        <v>847998</v>
      </c>
      <c r="M1015" s="13">
        <v>107736</v>
      </c>
      <c r="N1015" s="13">
        <v>4005</v>
      </c>
      <c r="O1015" s="16" t="s">
        <v>26</v>
      </c>
      <c r="P1015" s="6">
        <v>39960.368576388893</v>
      </c>
      <c r="Q1015" s="17" t="s">
        <v>383</v>
      </c>
      <c r="R1015" s="18" t="s">
        <v>4073</v>
      </c>
      <c r="S1015" s="11" t="s">
        <v>4074</v>
      </c>
      <c r="T1015" s="12"/>
      <c r="U1015" s="10" t="str">
        <f>HYPERLINK("https://pbs.twimg.com/profile_images/1051102549061849088/xDOWgbtI.jpg","View")</f>
        <v>View</v>
      </c>
    </row>
    <row r="1016" spans="1:21" ht="81.599999999999994">
      <c r="A1016" s="6">
        <v>43427.169074074074</v>
      </c>
      <c r="B1016" s="7" t="str">
        <f>HYPERLINK("https://twitter.com/jcangrisano","@jcangrisano")</f>
        <v>@jcangrisano</v>
      </c>
      <c r="C1016" s="8" t="s">
        <v>4124</v>
      </c>
      <c r="D1016" s="9" t="s">
        <v>4125</v>
      </c>
      <c r="E1016" s="10" t="str">
        <f>HYPERLINK("https://twitter.com/jcangrisano/status/1065802988432834562","1065802988432834562")</f>
        <v>1065802988432834562</v>
      </c>
      <c r="F1016" s="11" t="s">
        <v>2429</v>
      </c>
      <c r="G1016" s="12"/>
      <c r="H1016" s="12"/>
      <c r="I1016" s="13">
        <v>0</v>
      </c>
      <c r="J1016" s="13">
        <v>0</v>
      </c>
      <c r="K1016" s="14" t="str">
        <f>HYPERLINK("http://twitter.com/download/android","Twitter for Android")</f>
        <v>Twitter for Android</v>
      </c>
      <c r="L1016" s="13">
        <v>55</v>
      </c>
      <c r="M1016" s="13">
        <v>262</v>
      </c>
      <c r="N1016" s="13">
        <v>0</v>
      </c>
      <c r="O1016" s="15"/>
      <c r="P1016" s="6">
        <v>40272.767314814817</v>
      </c>
      <c r="Q1016" s="12"/>
      <c r="R1016" s="19"/>
      <c r="S1016" s="12"/>
      <c r="T1016" s="12"/>
      <c r="U1016" s="10" t="str">
        <f>HYPERLINK("https://pbs.twimg.com/profile_images/3518067110/33a04091205ced541a54efb449199fcb.jpeg","View")</f>
        <v>View</v>
      </c>
    </row>
    <row r="1017" spans="1:21" ht="13.2">
      <c r="A1017" s="6">
        <v>43427.168483796297</v>
      </c>
      <c r="B1017" s="7" t="str">
        <f>HYPERLINK("https://twitter.com/GlezFeder","@GlezFeder")</f>
        <v>@GlezFeder</v>
      </c>
      <c r="C1017" s="8" t="s">
        <v>4126</v>
      </c>
      <c r="D1017" s="9" t="s">
        <v>1937</v>
      </c>
      <c r="E1017" s="10" t="str">
        <f>HYPERLINK("https://twitter.com/GlezFeder/status/1065802772510068736","1065802772510068736")</f>
        <v>1065802772510068736</v>
      </c>
      <c r="F1017" s="11" t="s">
        <v>4127</v>
      </c>
      <c r="G1017" s="12"/>
      <c r="H1017" s="12"/>
      <c r="I1017" s="13">
        <v>0</v>
      </c>
      <c r="J1017" s="13">
        <v>0</v>
      </c>
      <c r="K1017" s="14" t="str">
        <f>HYPERLINK("http://twitter.com","Twitter Web Client")</f>
        <v>Twitter Web Client</v>
      </c>
      <c r="L1017" s="13">
        <v>208</v>
      </c>
      <c r="M1017" s="13">
        <v>262</v>
      </c>
      <c r="N1017" s="13">
        <v>2</v>
      </c>
      <c r="O1017" s="15"/>
      <c r="P1017" s="6">
        <v>43247.825613425928</v>
      </c>
      <c r="Q1017" s="17" t="s">
        <v>4128</v>
      </c>
      <c r="R1017" s="18" t="s">
        <v>4129</v>
      </c>
      <c r="S1017" s="12"/>
      <c r="T1017" s="12"/>
      <c r="U1017" s="10" t="str">
        <f>HYPERLINK("https://pbs.twimg.com/profile_images/1060247976700973056/3K9K-vjB.jpg","View")</f>
        <v>View</v>
      </c>
    </row>
    <row r="1018" spans="1:21" ht="51">
      <c r="A1018" s="6">
        <v>43427.166678240741</v>
      </c>
      <c r="B1018" s="7" t="str">
        <f>HYPERLINK("https://twitter.com/martinoticias","@martinoticias")</f>
        <v>@martinoticias</v>
      </c>
      <c r="C1018" s="8" t="s">
        <v>4130</v>
      </c>
      <c r="D1018" s="9" t="s">
        <v>4131</v>
      </c>
      <c r="E1018" s="10" t="str">
        <f>HYPERLINK("https://twitter.com/martinoticias/status/1065802118102011904","1065802118102011904")</f>
        <v>1065802118102011904</v>
      </c>
      <c r="F1018" s="11" t="s">
        <v>4132</v>
      </c>
      <c r="G1018" s="12"/>
      <c r="H1018" s="12"/>
      <c r="I1018" s="13">
        <v>0</v>
      </c>
      <c r="J1018" s="13">
        <v>0</v>
      </c>
      <c r="K1018" s="14" t="str">
        <f>HYPERLINK("http://www.socialbakers.com/","Socialbakers")</f>
        <v>Socialbakers</v>
      </c>
      <c r="L1018" s="13">
        <v>17427</v>
      </c>
      <c r="M1018" s="13">
        <v>3644</v>
      </c>
      <c r="N1018" s="13">
        <v>403</v>
      </c>
      <c r="O1018" s="15"/>
      <c r="P1018" s="6">
        <v>39874.603946759264</v>
      </c>
      <c r="Q1018" s="17" t="s">
        <v>127</v>
      </c>
      <c r="R1018" s="18" t="s">
        <v>4133</v>
      </c>
      <c r="S1018" s="11" t="s">
        <v>4134</v>
      </c>
      <c r="T1018" s="12"/>
      <c r="U1018" s="10" t="str">
        <f>HYPERLINK("https://pbs.twimg.com/profile_images/1048254701974827009/wiy6pU4s.jpg","View")</f>
        <v>View</v>
      </c>
    </row>
    <row r="1019" spans="1:21" ht="20.399999999999999">
      <c r="A1019" s="6">
        <v>43427.164583333331</v>
      </c>
      <c r="B1019" s="7" t="str">
        <f>HYPERLINK("https://twitter.com/sumariumcom","@sumariumcom")</f>
        <v>@sumariumcom</v>
      </c>
      <c r="C1019" s="8" t="s">
        <v>1974</v>
      </c>
      <c r="D1019" s="9" t="s">
        <v>2046</v>
      </c>
      <c r="E1019" s="10" t="str">
        <f>HYPERLINK("https://twitter.com/sumariumcom/status/1065801359621001216","1065801359621001216")</f>
        <v>1065801359621001216</v>
      </c>
      <c r="F1019" s="11" t="s">
        <v>2047</v>
      </c>
      <c r="G1019" s="11" t="s">
        <v>4135</v>
      </c>
      <c r="H1019" s="12"/>
      <c r="I1019" s="13">
        <v>1</v>
      </c>
      <c r="J1019" s="13">
        <v>0</v>
      </c>
      <c r="K1019" s="14" t="str">
        <f>HYPERLINK("https://about.twitter.com/products/tweetdeck","TweetDeck")</f>
        <v>TweetDeck</v>
      </c>
      <c r="L1019" s="13">
        <v>164226</v>
      </c>
      <c r="M1019" s="13">
        <v>994</v>
      </c>
      <c r="N1019" s="13">
        <v>1117</v>
      </c>
      <c r="O1019" s="15"/>
      <c r="P1019" s="6">
        <v>40977.809594907405</v>
      </c>
      <c r="Q1019" s="17" t="s">
        <v>1978</v>
      </c>
      <c r="R1019" s="19"/>
      <c r="S1019" s="11" t="s">
        <v>1979</v>
      </c>
      <c r="T1019" s="12"/>
      <c r="U1019" s="10" t="str">
        <f>HYPERLINK("https://pbs.twimg.com/profile_images/1061987847874469888/mok5IDTt.jpg","View")</f>
        <v>View</v>
      </c>
    </row>
    <row r="1020" spans="1:21" ht="20.399999999999999">
      <c r="A1020" s="6">
        <v>43427.163958333331</v>
      </c>
      <c r="B1020" s="7" t="str">
        <f>HYPERLINK("https://twitter.com/AngeliGim","@AngeliGim")</f>
        <v>@AngeliGim</v>
      </c>
      <c r="C1020" s="8" t="s">
        <v>4136</v>
      </c>
      <c r="D1020" s="9" t="s">
        <v>2191</v>
      </c>
      <c r="E1020" s="10" t="str">
        <f>HYPERLINK("https://twitter.com/AngeliGim/status/1065801132021334016","1065801132021334016")</f>
        <v>1065801132021334016</v>
      </c>
      <c r="F1020" s="11" t="s">
        <v>4137</v>
      </c>
      <c r="G1020" s="12"/>
      <c r="H1020" s="12"/>
      <c r="I1020" s="13">
        <v>0</v>
      </c>
      <c r="J1020" s="13">
        <v>0</v>
      </c>
      <c r="K1020" s="14" t="str">
        <f>HYPERLINK("https://ifttt.com","IFTTT")</f>
        <v>IFTTT</v>
      </c>
      <c r="L1020" s="13">
        <v>68</v>
      </c>
      <c r="M1020" s="13">
        <v>57</v>
      </c>
      <c r="N1020" s="13">
        <v>1</v>
      </c>
      <c r="O1020" s="15"/>
      <c r="P1020" s="6">
        <v>40603.857106481482</v>
      </c>
      <c r="Q1020" s="17" t="s">
        <v>4138</v>
      </c>
      <c r="R1020" s="18" t="s">
        <v>4139</v>
      </c>
      <c r="S1020" s="12"/>
      <c r="T1020" s="12"/>
      <c r="U1020" s="10" t="str">
        <f>HYPERLINK("https://pbs.twimg.com/profile_images/1015983020979998720/a1JnYNg9.jpg","View")</f>
        <v>View</v>
      </c>
    </row>
    <row r="1021" spans="1:21" ht="30.6">
      <c r="A1021" s="6">
        <v>43427.162916666668</v>
      </c>
      <c r="B1021" s="7" t="str">
        <f>HYPERLINK("https://twitter.com/DiarioSUR","@DiarioSUR")</f>
        <v>@DiarioSUR</v>
      </c>
      <c r="C1021" s="8" t="s">
        <v>4140</v>
      </c>
      <c r="D1021" s="9" t="s">
        <v>4141</v>
      </c>
      <c r="E1021" s="10" t="str">
        <f>HYPERLINK("https://twitter.com/DiarioSUR/status/1065800755716730880","1065800755716730880")</f>
        <v>1065800755716730880</v>
      </c>
      <c r="F1021" s="11" t="s">
        <v>4142</v>
      </c>
      <c r="G1021" s="12"/>
      <c r="H1021" s="12"/>
      <c r="I1021" s="13">
        <v>0</v>
      </c>
      <c r="J1021" s="13">
        <v>0</v>
      </c>
      <c r="K1021" s="14" t="str">
        <f>HYPERLINK("http://www.diariosur.es/","Retuitear Noticias")</f>
        <v>Retuitear Noticias</v>
      </c>
      <c r="L1021" s="13">
        <v>251799</v>
      </c>
      <c r="M1021" s="13">
        <v>6674</v>
      </c>
      <c r="N1021" s="13">
        <v>2055</v>
      </c>
      <c r="O1021" s="16" t="s">
        <v>26</v>
      </c>
      <c r="P1021" s="6">
        <v>39853.755590277782</v>
      </c>
      <c r="Q1021" s="17" t="s">
        <v>29</v>
      </c>
      <c r="R1021" s="18" t="s">
        <v>4143</v>
      </c>
      <c r="S1021" s="11" t="s">
        <v>4144</v>
      </c>
      <c r="T1021" s="12"/>
      <c r="U1021" s="10" t="str">
        <f>HYPERLINK("https://pbs.twimg.com/profile_images/1053438993063387139/BYHkFJEe.jpg","View")</f>
        <v>View</v>
      </c>
    </row>
    <row r="1022" spans="1:21" ht="40.799999999999997">
      <c r="A1022" s="6">
        <v>43427.162407407406</v>
      </c>
      <c r="B1022" s="7" t="str">
        <f>HYPERLINK("https://twitter.com/ACN_Cuba","@ACN_Cuba")</f>
        <v>@ACN_Cuba</v>
      </c>
      <c r="C1022" s="8" t="s">
        <v>4145</v>
      </c>
      <c r="D1022" s="9" t="s">
        <v>4146</v>
      </c>
      <c r="E1022" s="10" t="str">
        <f>HYPERLINK("https://twitter.com/ACN_Cuba/status/1065800569921638400","1065800569921638400")</f>
        <v>1065800569921638400</v>
      </c>
      <c r="F1022" s="11" t="s">
        <v>4147</v>
      </c>
      <c r="G1022" s="12"/>
      <c r="H1022" s="12"/>
      <c r="I1022" s="13">
        <v>1</v>
      </c>
      <c r="J1022" s="13">
        <v>0</v>
      </c>
      <c r="K1022" s="14" t="str">
        <f>HYPERLINK("http://www.facebook.com/twitter","Facebook")</f>
        <v>Facebook</v>
      </c>
      <c r="L1022" s="13">
        <v>18596</v>
      </c>
      <c r="M1022" s="13">
        <v>274</v>
      </c>
      <c r="N1022" s="13">
        <v>325</v>
      </c>
      <c r="O1022" s="15"/>
      <c r="P1022" s="6">
        <v>40182.766030092593</v>
      </c>
      <c r="Q1022" s="17" t="s">
        <v>40</v>
      </c>
      <c r="R1022" s="18" t="s">
        <v>4148</v>
      </c>
      <c r="S1022" s="11" t="s">
        <v>4149</v>
      </c>
      <c r="T1022" s="12"/>
      <c r="U1022" s="10" t="str">
        <f>HYPERLINK("https://pbs.twimg.com/profile_images/862776840447967232/pBaMUvXI.jpg","View")</f>
        <v>View</v>
      </c>
    </row>
    <row r="1023" spans="1:21" ht="20.399999999999999">
      <c r="A1023" s="6">
        <v>43427.161793981482</v>
      </c>
      <c r="B1023" s="7" t="str">
        <f>HYPERLINK("https://twitter.com/periodismovivo","@periodismovivo")</f>
        <v>@periodismovivo</v>
      </c>
      <c r="C1023" s="8" t="s">
        <v>4150</v>
      </c>
      <c r="D1023" s="9" t="s">
        <v>4151</v>
      </c>
      <c r="E1023" s="10" t="str">
        <f>HYPERLINK("https://twitter.com/periodismovivo/status/1065800347803881472","1065800347803881472")</f>
        <v>1065800347803881472</v>
      </c>
      <c r="F1023" s="11" t="s">
        <v>4152</v>
      </c>
      <c r="G1023" s="12"/>
      <c r="H1023" s="12"/>
      <c r="I1023" s="13">
        <v>0</v>
      </c>
      <c r="J1023" s="13">
        <v>0</v>
      </c>
      <c r="K1023" s="14" t="str">
        <f>HYPERLINK("http://www.periodismovivo.com","periodismovivo")</f>
        <v>periodismovivo</v>
      </c>
      <c r="L1023" s="13">
        <v>1452</v>
      </c>
      <c r="M1023" s="13">
        <v>133</v>
      </c>
      <c r="N1023" s="13">
        <v>24</v>
      </c>
      <c r="O1023" s="15"/>
      <c r="P1023" s="6">
        <v>40663.109918981485</v>
      </c>
      <c r="Q1023" s="17" t="s">
        <v>39</v>
      </c>
      <c r="R1023" s="18" t="s">
        <v>4153</v>
      </c>
      <c r="S1023" s="11" t="s">
        <v>4154</v>
      </c>
      <c r="T1023" s="12"/>
      <c r="U1023" s="10" t="str">
        <f>HYPERLINK("https://pbs.twimg.com/profile_images/421687724681084928/Rpr5V4M9.jpeg","View")</f>
        <v>View</v>
      </c>
    </row>
    <row r="1024" spans="1:21" ht="20.399999999999999">
      <c r="A1024" s="6">
        <v>43427.156342592592</v>
      </c>
      <c r="B1024" s="7" t="str">
        <f>HYPERLINK("https://twitter.com/GlezFeder","@GlezFeder")</f>
        <v>@GlezFeder</v>
      </c>
      <c r="C1024" s="8" t="s">
        <v>4126</v>
      </c>
      <c r="D1024" s="9" t="s">
        <v>1192</v>
      </c>
      <c r="E1024" s="10" t="str">
        <f>HYPERLINK("https://twitter.com/GlezFeder/status/1065798374962749441","1065798374962749441")</f>
        <v>1065798374962749441</v>
      </c>
      <c r="F1024" s="11" t="s">
        <v>4155</v>
      </c>
      <c r="G1024" s="12"/>
      <c r="H1024" s="12"/>
      <c r="I1024" s="13">
        <v>0</v>
      </c>
      <c r="J1024" s="13">
        <v>0</v>
      </c>
      <c r="K1024" s="14" t="str">
        <f t="shared" ref="K1024:K1025" si="180">HYPERLINK("http://twitter.com","Twitter Web Client")</f>
        <v>Twitter Web Client</v>
      </c>
      <c r="L1024" s="13">
        <v>208</v>
      </c>
      <c r="M1024" s="13">
        <v>262</v>
      </c>
      <c r="N1024" s="13">
        <v>2</v>
      </c>
      <c r="O1024" s="15"/>
      <c r="P1024" s="6">
        <v>43247.825613425928</v>
      </c>
      <c r="Q1024" s="17" t="s">
        <v>4128</v>
      </c>
      <c r="R1024" s="18" t="s">
        <v>4129</v>
      </c>
      <c r="S1024" s="12"/>
      <c r="T1024" s="12"/>
      <c r="U1024" s="10" t="str">
        <f>HYPERLINK("https://pbs.twimg.com/profile_images/1060247976700973056/3K9K-vjB.jpg","View")</f>
        <v>View</v>
      </c>
    </row>
    <row r="1025" spans="1:21" ht="20.399999999999999">
      <c r="A1025" s="6">
        <v>43427.154722222222</v>
      </c>
      <c r="B1025" s="7" t="str">
        <f>HYPERLINK("https://twitter.com/VirgilioPonce","@VirgilioPonce")</f>
        <v>@VirgilioPonce</v>
      </c>
      <c r="C1025" s="8" t="s">
        <v>4156</v>
      </c>
      <c r="D1025" s="9" t="s">
        <v>4157</v>
      </c>
      <c r="E1025" s="10" t="str">
        <f>HYPERLINK("https://twitter.com/VirgilioPonce/status/1065797787525226496","1065797787525226496")</f>
        <v>1065797787525226496</v>
      </c>
      <c r="F1025" s="11" t="s">
        <v>4158</v>
      </c>
      <c r="G1025" s="12"/>
      <c r="H1025" s="12"/>
      <c r="I1025" s="13">
        <v>0</v>
      </c>
      <c r="J1025" s="13">
        <v>0</v>
      </c>
      <c r="K1025" s="14" t="str">
        <f t="shared" si="180"/>
        <v>Twitter Web Client</v>
      </c>
      <c r="L1025" s="13">
        <v>735</v>
      </c>
      <c r="M1025" s="13">
        <v>476</v>
      </c>
      <c r="N1025" s="13">
        <v>129</v>
      </c>
      <c r="O1025" s="15"/>
      <c r="P1025" s="6">
        <v>41470.49864583333</v>
      </c>
      <c r="Q1025" s="17" t="s">
        <v>4159</v>
      </c>
      <c r="R1025" s="18" t="s">
        <v>4160</v>
      </c>
      <c r="S1025" s="11" t="s">
        <v>4161</v>
      </c>
      <c r="T1025" s="12"/>
      <c r="U1025" s="10" t="str">
        <f>HYPERLINK("https://pbs.twimg.com/profile_images/378800000354051487/05683e534a8f053b0f44722f0ef2df4e.jpeg","View")</f>
        <v>View</v>
      </c>
    </row>
    <row r="1026" spans="1:21" ht="40.799999999999997">
      <c r="A1026" s="6">
        <v>43427.154317129629</v>
      </c>
      <c r="B1026" s="7" t="str">
        <f>HYPERLINK("https://twitter.com/ADLMTRX","@ADLMTRX")</f>
        <v>@ADLMTRX</v>
      </c>
      <c r="C1026" s="8" t="s">
        <v>4162</v>
      </c>
      <c r="D1026" s="9" t="s">
        <v>232</v>
      </c>
      <c r="E1026" s="10" t="str">
        <f>HYPERLINK("https://twitter.com/ADLMTRX/status/1065797638296141825","1065797638296141825")</f>
        <v>1065797638296141825</v>
      </c>
      <c r="F1026" s="11" t="s">
        <v>233</v>
      </c>
      <c r="G1026" s="12"/>
      <c r="H1026" s="12"/>
      <c r="I1026" s="13">
        <v>1</v>
      </c>
      <c r="J1026" s="13">
        <v>1</v>
      </c>
      <c r="K1026" s="14" t="str">
        <f>HYPERLINK("http://twitter.com/download/android","Twitter for Android")</f>
        <v>Twitter for Android</v>
      </c>
      <c r="L1026" s="13">
        <v>128</v>
      </c>
      <c r="M1026" s="13">
        <v>565</v>
      </c>
      <c r="N1026" s="13">
        <v>0</v>
      </c>
      <c r="O1026" s="15"/>
      <c r="P1026" s="6">
        <v>43256.922199074077</v>
      </c>
      <c r="Q1026" s="12"/>
      <c r="R1026" s="18" t="s">
        <v>4163</v>
      </c>
      <c r="S1026" s="11" t="s">
        <v>4164</v>
      </c>
      <c r="T1026" s="12"/>
      <c r="U1026" s="10" t="str">
        <f>HYPERLINK("https://pbs.twimg.com/profile_images/1049867912738168832/b28bvLuG.jpg","View")</f>
        <v>View</v>
      </c>
    </row>
    <row r="1027" spans="1:21" ht="20.399999999999999">
      <c r="A1027" s="6">
        <v>43427.154293981483</v>
      </c>
      <c r="B1027" s="7" t="str">
        <f>HYPERLINK("https://twitter.com/VirgilioPonce","@VirgilioPonce")</f>
        <v>@VirgilioPonce</v>
      </c>
      <c r="C1027" s="8" t="s">
        <v>4156</v>
      </c>
      <c r="D1027" s="9" t="s">
        <v>4165</v>
      </c>
      <c r="E1027" s="10" t="str">
        <f>HYPERLINK("https://twitter.com/VirgilioPonce/status/1065797631400689669","1065797631400689669")</f>
        <v>1065797631400689669</v>
      </c>
      <c r="F1027" s="11" t="s">
        <v>4158</v>
      </c>
      <c r="G1027" s="12"/>
      <c r="H1027" s="12"/>
      <c r="I1027" s="13">
        <v>0</v>
      </c>
      <c r="J1027" s="13">
        <v>0</v>
      </c>
      <c r="K1027" s="14" t="str">
        <f>HYPERLINK("http://twitter.com","Twitter Web Client")</f>
        <v>Twitter Web Client</v>
      </c>
      <c r="L1027" s="13">
        <v>735</v>
      </c>
      <c r="M1027" s="13">
        <v>476</v>
      </c>
      <c r="N1027" s="13">
        <v>129</v>
      </c>
      <c r="O1027" s="15"/>
      <c r="P1027" s="6">
        <v>41470.49864583333</v>
      </c>
      <c r="Q1027" s="17" t="s">
        <v>4159</v>
      </c>
      <c r="R1027" s="18" t="s">
        <v>4160</v>
      </c>
      <c r="S1027" s="11" t="s">
        <v>4161</v>
      </c>
      <c r="T1027" s="12"/>
      <c r="U1027" s="10" t="str">
        <f>HYPERLINK("https://pbs.twimg.com/profile_images/378800000354051487/05683e534a8f053b0f44722f0ef2df4e.jpeg","View")</f>
        <v>View</v>
      </c>
    </row>
    <row r="1028" spans="1:21" ht="20.399999999999999">
      <c r="A1028" s="6">
        <v>43427.154016203705</v>
      </c>
      <c r="B1028" s="7" t="str">
        <f>HYPERLINK("https://twitter.com/NDtitulares","@NDtitulares")</f>
        <v>@NDtitulares</v>
      </c>
      <c r="C1028" s="8" t="s">
        <v>4166</v>
      </c>
      <c r="D1028" s="9" t="s">
        <v>3190</v>
      </c>
      <c r="E1028" s="10" t="str">
        <f>HYPERLINK("https://twitter.com/NDtitulares/status/1065797532087795712","1065797532087795712")</f>
        <v>1065797532087795712</v>
      </c>
      <c r="F1028" s="11" t="s">
        <v>3191</v>
      </c>
      <c r="G1028" s="11" t="s">
        <v>3192</v>
      </c>
      <c r="H1028" s="12"/>
      <c r="I1028" s="13">
        <v>1</v>
      </c>
      <c r="J1028" s="13">
        <v>0</v>
      </c>
      <c r="K1028" s="14" t="str">
        <f>HYPERLINK("http://www.noticierodigital.com","PublicarTuitsDesdeWP")</f>
        <v>PublicarTuitsDesdeWP</v>
      </c>
      <c r="L1028" s="13">
        <v>717211</v>
      </c>
      <c r="M1028" s="13">
        <v>1611</v>
      </c>
      <c r="N1028" s="13">
        <v>3756</v>
      </c>
      <c r="O1028" s="15"/>
      <c r="P1028" s="6">
        <v>39930.715879629628</v>
      </c>
      <c r="Q1028" s="17" t="s">
        <v>104</v>
      </c>
      <c r="R1028" s="18" t="s">
        <v>4167</v>
      </c>
      <c r="S1028" s="11" t="s">
        <v>4168</v>
      </c>
      <c r="T1028" s="12"/>
      <c r="U1028" s="10" t="str">
        <f>HYPERLINK("https://pbs.twimg.com/profile_images/875451743815053313/Xr2jDG9I.jpg","View")</f>
        <v>View</v>
      </c>
    </row>
    <row r="1029" spans="1:21" ht="40.799999999999997">
      <c r="A1029" s="6">
        <v>43427.153067129635</v>
      </c>
      <c r="B1029" s="7" t="str">
        <f>HYPERLINK("https://twitter.com/ADLMTRX","@ADLMTRX")</f>
        <v>@ADLMTRX</v>
      </c>
      <c r="C1029" s="8" t="s">
        <v>4162</v>
      </c>
      <c r="D1029" s="9" t="s">
        <v>2103</v>
      </c>
      <c r="E1029" s="10" t="str">
        <f>HYPERLINK("https://twitter.com/ADLMTRX/status/1065797186888376327","1065797186888376327")</f>
        <v>1065797186888376327</v>
      </c>
      <c r="F1029" s="11" t="s">
        <v>2105</v>
      </c>
      <c r="G1029" s="12"/>
      <c r="H1029" s="12"/>
      <c r="I1029" s="13">
        <v>0</v>
      </c>
      <c r="J1029" s="13">
        <v>0</v>
      </c>
      <c r="K1029" s="14" t="str">
        <f>HYPERLINK("http://twitter.com/download/android","Twitter for Android")</f>
        <v>Twitter for Android</v>
      </c>
      <c r="L1029" s="13">
        <v>128</v>
      </c>
      <c r="M1029" s="13">
        <v>565</v>
      </c>
      <c r="N1029" s="13">
        <v>0</v>
      </c>
      <c r="O1029" s="15"/>
      <c r="P1029" s="6">
        <v>43256.922199074077</v>
      </c>
      <c r="Q1029" s="12"/>
      <c r="R1029" s="18" t="s">
        <v>4163</v>
      </c>
      <c r="S1029" s="11" t="s">
        <v>4164</v>
      </c>
      <c r="T1029" s="12"/>
      <c r="U1029" s="10" t="str">
        <f>HYPERLINK("https://pbs.twimg.com/profile_images/1049867912738168832/b28bvLuG.jpg","View")</f>
        <v>View</v>
      </c>
    </row>
    <row r="1030" spans="1:21" ht="20.399999999999999">
      <c r="A1030" s="6">
        <v>43427.152962962966</v>
      </c>
      <c r="B1030" s="7" t="str">
        <f>HYPERLINK("https://twitter.com/estoescuba","@estoescuba")</f>
        <v>@estoescuba</v>
      </c>
      <c r="C1030" s="8" t="s">
        <v>4048</v>
      </c>
      <c r="D1030" s="9" t="s">
        <v>4049</v>
      </c>
      <c r="E1030" s="10" t="str">
        <f>HYPERLINK("https://twitter.com/estoescuba/status/1065797149529698304","1065797149529698304")</f>
        <v>1065797149529698304</v>
      </c>
      <c r="F1030" s="11" t="s">
        <v>4169</v>
      </c>
      <c r="G1030" s="11" t="s">
        <v>4170</v>
      </c>
      <c r="H1030" s="12"/>
      <c r="I1030" s="13">
        <v>0</v>
      </c>
      <c r="J1030" s="13">
        <v>0</v>
      </c>
      <c r="K1030" s="14" t="str">
        <f>HYPERLINK("http://publicize.wp.com/","WordPress.com")</f>
        <v>WordPress.com</v>
      </c>
      <c r="L1030" s="13">
        <v>5</v>
      </c>
      <c r="M1030" s="13">
        <v>38</v>
      </c>
      <c r="N1030" s="13">
        <v>0</v>
      </c>
      <c r="O1030" s="15"/>
      <c r="P1030" s="6">
        <v>43414.898113425923</v>
      </c>
      <c r="Q1030" s="17" t="s">
        <v>839</v>
      </c>
      <c r="R1030" s="18" t="s">
        <v>4052</v>
      </c>
      <c r="S1030" s="11" t="s">
        <v>4053</v>
      </c>
      <c r="T1030" s="12"/>
      <c r="U1030" s="10" t="str">
        <f>HYPERLINK("https://pbs.twimg.com/profile_images/1061360042778284035/L4MGACSS.jpg","View")</f>
        <v>View</v>
      </c>
    </row>
    <row r="1031" spans="1:21" ht="51">
      <c r="A1031" s="6">
        <v>43427.150451388894</v>
      </c>
      <c r="B1031" s="7" t="str">
        <f>HYPERLINK("https://twitter.com/PepitaMenaMart1","@PepitaMenaMart1")</f>
        <v>@PepitaMenaMart1</v>
      </c>
      <c r="C1031" s="8" t="s">
        <v>4171</v>
      </c>
      <c r="D1031" s="9" t="s">
        <v>4172</v>
      </c>
      <c r="E1031" s="10" t="str">
        <f>HYPERLINK("https://twitter.com/PepitaMenaMart1/status/1065796237876740096","1065796237876740096")</f>
        <v>1065796237876740096</v>
      </c>
      <c r="F1031" s="11" t="s">
        <v>4173</v>
      </c>
      <c r="G1031" s="11" t="s">
        <v>4174</v>
      </c>
      <c r="H1031" s="12"/>
      <c r="I1031" s="13">
        <v>0</v>
      </c>
      <c r="J1031" s="13">
        <v>1</v>
      </c>
      <c r="K1031" s="14" t="str">
        <f>HYPERLINK("http://twitter.com/download/android","Twitter for Android")</f>
        <v>Twitter for Android</v>
      </c>
      <c r="L1031" s="13">
        <v>408</v>
      </c>
      <c r="M1031" s="13">
        <v>334</v>
      </c>
      <c r="N1031" s="13">
        <v>1</v>
      </c>
      <c r="O1031" s="15"/>
      <c r="P1031" s="6">
        <v>43124.888506944444</v>
      </c>
      <c r="Q1031" s="17" t="s">
        <v>4175</v>
      </c>
      <c r="R1031" s="18" t="s">
        <v>4176</v>
      </c>
      <c r="S1031" s="12"/>
      <c r="T1031" s="12"/>
      <c r="U1031" s="10" t="str">
        <f>HYPERLINK("https://pbs.twimg.com/profile_images/1053410905311064064/xChXdA8v.jpg","View")</f>
        <v>View</v>
      </c>
    </row>
    <row r="1032" spans="1:21" ht="40.799999999999997">
      <c r="A1032" s="6">
        <v>43427.149502314816</v>
      </c>
      <c r="B1032" s="7" t="str">
        <f>HYPERLINK("https://twitter.com/josealfredoe","@josealfredoe")</f>
        <v>@josealfredoe</v>
      </c>
      <c r="C1032" s="8" t="s">
        <v>4177</v>
      </c>
      <c r="D1032" s="9" t="s">
        <v>4178</v>
      </c>
      <c r="E1032" s="10" t="str">
        <f>HYPERLINK("https://twitter.com/josealfredoe/status/1065795892744241153","1065795892744241153")</f>
        <v>1065795892744241153</v>
      </c>
      <c r="F1032" s="11" t="s">
        <v>4179</v>
      </c>
      <c r="G1032" s="12"/>
      <c r="H1032" s="12"/>
      <c r="I1032" s="13">
        <v>0</v>
      </c>
      <c r="J1032" s="13">
        <v>0</v>
      </c>
      <c r="K1032" s="14" t="str">
        <f>HYPERLINK("http://www.facebook.com/twitter","Facebook")</f>
        <v>Facebook</v>
      </c>
      <c r="L1032" s="13">
        <v>1397</v>
      </c>
      <c r="M1032" s="13">
        <v>96</v>
      </c>
      <c r="N1032" s="13">
        <v>25</v>
      </c>
      <c r="O1032" s="15"/>
      <c r="P1032" s="6">
        <v>40645.332500000004</v>
      </c>
      <c r="Q1032" s="17" t="s">
        <v>4180</v>
      </c>
      <c r="R1032" s="18" t="s">
        <v>4181</v>
      </c>
      <c r="S1032" s="11" t="s">
        <v>4182</v>
      </c>
      <c r="T1032" s="12"/>
      <c r="U1032" s="10" t="str">
        <f>HYPERLINK("https://pbs.twimg.com/profile_images/908464788627374080/9FOTNAWi.jpg","View")</f>
        <v>View</v>
      </c>
    </row>
    <row r="1033" spans="1:21" ht="20.399999999999999">
      <c r="A1033" s="6">
        <v>43427.149293981478</v>
      </c>
      <c r="B1033" s="7" t="str">
        <f>HYPERLINK("https://twitter.com/EP_Mundo","@EP_Mundo")</f>
        <v>@EP_Mundo</v>
      </c>
      <c r="C1033" s="8" t="s">
        <v>298</v>
      </c>
      <c r="D1033" s="9" t="s">
        <v>299</v>
      </c>
      <c r="E1033" s="10" t="str">
        <f>HYPERLINK("https://twitter.com/EP_Mundo/status/1065795820400844800","1065795820400844800")</f>
        <v>1065795820400844800</v>
      </c>
      <c r="F1033" s="11" t="s">
        <v>99</v>
      </c>
      <c r="G1033" s="11" t="s">
        <v>4183</v>
      </c>
      <c r="H1033" s="12"/>
      <c r="I1033" s="13">
        <v>1</v>
      </c>
      <c r="J1033" s="13">
        <v>0</v>
      </c>
      <c r="K1033" s="14" t="str">
        <f>HYPERLINK("http://epmundo.com","Tuiteo TOP EP (2)")</f>
        <v>Tuiteo TOP EP (2)</v>
      </c>
      <c r="L1033" s="13">
        <v>510632</v>
      </c>
      <c r="M1033" s="13">
        <v>302207</v>
      </c>
      <c r="N1033" s="13">
        <v>1367</v>
      </c>
      <c r="O1033" s="15"/>
      <c r="P1033" s="6">
        <v>40203.223078703704</v>
      </c>
      <c r="Q1033" s="12"/>
      <c r="R1033" s="18" t="s">
        <v>303</v>
      </c>
      <c r="S1033" s="11" t="s">
        <v>304</v>
      </c>
      <c r="T1033" s="12"/>
      <c r="U1033" s="10" t="str">
        <f>HYPERLINK("https://pbs.twimg.com/profile_images/958329583778099200/87-xiuzB.jpg","View")</f>
        <v>View</v>
      </c>
    </row>
    <row r="1034" spans="1:21" ht="30.6">
      <c r="A1034" s="6">
        <v>43427.148368055554</v>
      </c>
      <c r="B1034" s="7" t="str">
        <f>HYPERLINK("https://twitter.com/Luisjoargue","@Luisjoargue")</f>
        <v>@Luisjoargue</v>
      </c>
      <c r="C1034" s="8" t="s">
        <v>4184</v>
      </c>
      <c r="D1034" s="9" t="s">
        <v>4185</v>
      </c>
      <c r="E1034" s="10" t="str">
        <f>HYPERLINK("https://twitter.com/Luisjoargue/status/1065795484210606080","1065795484210606080")</f>
        <v>1065795484210606080</v>
      </c>
      <c r="F1034" s="11" t="s">
        <v>4186</v>
      </c>
      <c r="G1034" s="12"/>
      <c r="H1034" s="12"/>
      <c r="I1034" s="13">
        <v>0</v>
      </c>
      <c r="J1034" s="13">
        <v>0</v>
      </c>
      <c r="K1034" s="14" t="str">
        <f>HYPERLINK("http://twitter.com/download/iphone","Twitter for iPhone")</f>
        <v>Twitter for iPhone</v>
      </c>
      <c r="L1034" s="13">
        <v>1418</v>
      </c>
      <c r="M1034" s="13">
        <v>2023</v>
      </c>
      <c r="N1034" s="13">
        <v>40</v>
      </c>
      <c r="O1034" s="15"/>
      <c r="P1034" s="6">
        <v>40356.635312500002</v>
      </c>
      <c r="Q1034" s="12"/>
      <c r="R1034" s="18" t="s">
        <v>4187</v>
      </c>
      <c r="S1034" s="12"/>
      <c r="T1034" s="12"/>
      <c r="U1034" s="10" t="str">
        <f>HYPERLINK("https://pbs.twimg.com/profile_images/765304202272903169/-K7o-_9m.jpg","View")</f>
        <v>View</v>
      </c>
    </row>
    <row r="1035" spans="1:21" ht="40.799999999999997">
      <c r="A1035" s="6">
        <v>43427.148090277777</v>
      </c>
      <c r="B1035" s="7" t="str">
        <f>HYPERLINK("https://twitter.com/merinooooo","@merinooooo")</f>
        <v>@merinooooo</v>
      </c>
      <c r="C1035" s="8" t="s">
        <v>4188</v>
      </c>
      <c r="D1035" s="9" t="s">
        <v>4189</v>
      </c>
      <c r="E1035" s="10" t="str">
        <f>HYPERLINK("https://twitter.com/merinooooo/status/1065795384184836097","1065795384184836097")</f>
        <v>1065795384184836097</v>
      </c>
      <c r="F1035" s="11" t="s">
        <v>4190</v>
      </c>
      <c r="G1035" s="12"/>
      <c r="H1035" s="12"/>
      <c r="I1035" s="13">
        <v>7</v>
      </c>
      <c r="J1035" s="13">
        <v>4</v>
      </c>
      <c r="K1035" s="14" t="str">
        <f>HYPERLINK("http://twitter.com","Twitter Web Client")</f>
        <v>Twitter Web Client</v>
      </c>
      <c r="L1035" s="13">
        <v>903</v>
      </c>
      <c r="M1035" s="13">
        <v>878</v>
      </c>
      <c r="N1035" s="13">
        <v>37</v>
      </c>
      <c r="O1035" s="15"/>
      <c r="P1035" s="6">
        <v>41228.794085648144</v>
      </c>
      <c r="Q1035" s="17" t="s">
        <v>4191</v>
      </c>
      <c r="R1035" s="18" t="s">
        <v>1608</v>
      </c>
      <c r="S1035" s="12"/>
      <c r="T1035" s="12"/>
      <c r="U1035" s="10" t="str">
        <f>HYPERLINK("https://pbs.twimg.com/profile_images/969637085719166982/p9qo0dkc.jpg","View")</f>
        <v>View</v>
      </c>
    </row>
    <row r="1036" spans="1:21" ht="40.799999999999997">
      <c r="A1036" s="6">
        <v>43427.147337962961</v>
      </c>
      <c r="B1036" s="7" t="str">
        <f>HYPERLINK("https://twitter.com/btxcgnbv","@btxcgnbv")</f>
        <v>@btxcgnbv</v>
      </c>
      <c r="C1036" s="8" t="s">
        <v>4192</v>
      </c>
      <c r="D1036" s="9" t="s">
        <v>4193</v>
      </c>
      <c r="E1036" s="10" t="str">
        <f>HYPERLINK("https://twitter.com/btxcgnbv/status/1065795112322637824","1065795112322637824")</f>
        <v>1065795112322637824</v>
      </c>
      <c r="F1036" s="11" t="s">
        <v>4194</v>
      </c>
      <c r="G1036" s="12"/>
      <c r="H1036" s="12"/>
      <c r="I1036" s="13">
        <v>0</v>
      </c>
      <c r="J1036" s="13">
        <v>0</v>
      </c>
      <c r="K1036" s="14" t="str">
        <f>HYPERLINK("https://buffer.com","Buffer")</f>
        <v>Buffer</v>
      </c>
      <c r="L1036" s="13">
        <v>2569</v>
      </c>
      <c r="M1036" s="13">
        <v>4999</v>
      </c>
      <c r="N1036" s="13">
        <v>128</v>
      </c>
      <c r="O1036" s="15"/>
      <c r="P1036" s="6">
        <v>40694.039606481485</v>
      </c>
      <c r="Q1036" s="12"/>
      <c r="R1036" s="18" t="s">
        <v>4196</v>
      </c>
      <c r="S1036" s="12"/>
      <c r="T1036" s="12"/>
      <c r="U1036" s="10" t="str">
        <f>HYPERLINK("https://pbs.twimg.com/profile_images/971885586696097792/hAF3pjtj.jpg","View")</f>
        <v>View</v>
      </c>
    </row>
    <row r="1037" spans="1:21" ht="40.799999999999997">
      <c r="A1037" s="6">
        <v>43427.145949074074</v>
      </c>
      <c r="B1037" s="7" t="str">
        <f>HYPERLINK("https://twitter.com/DamasdBlanco","@DamasdBlanco")</f>
        <v>@DamasdBlanco</v>
      </c>
      <c r="C1037" s="8" t="s">
        <v>4197</v>
      </c>
      <c r="D1037" s="9" t="s">
        <v>4198</v>
      </c>
      <c r="E1037" s="10" t="str">
        <f>HYPERLINK("https://twitter.com/DamasdBlanco/status/1065794605197737984","1065794605197737984")</f>
        <v>1065794605197737984</v>
      </c>
      <c r="F1037" s="11" t="s">
        <v>4199</v>
      </c>
      <c r="G1037" s="12"/>
      <c r="H1037" s="12"/>
      <c r="I1037" s="13">
        <v>14</v>
      </c>
      <c r="J1037" s="13">
        <v>8</v>
      </c>
      <c r="K1037" s="14" t="str">
        <f>HYPERLINK("http://twitter.com/download/iphone","Twitter for iPhone")</f>
        <v>Twitter for iPhone</v>
      </c>
      <c r="L1037" s="13">
        <v>28165</v>
      </c>
      <c r="M1037" s="13">
        <v>3218</v>
      </c>
      <c r="N1037" s="13">
        <v>439</v>
      </c>
      <c r="O1037" s="15"/>
      <c r="P1037" s="6">
        <v>40295.827615740738</v>
      </c>
      <c r="Q1037" s="17" t="s">
        <v>4200</v>
      </c>
      <c r="R1037" s="18" t="s">
        <v>4201</v>
      </c>
      <c r="S1037" s="11" t="s">
        <v>4202</v>
      </c>
      <c r="T1037" s="12"/>
      <c r="U1037" s="10" t="str">
        <f>HYPERLINK("https://pbs.twimg.com/profile_images/1048363394942865408/L7MW1vT-.jpg","View")</f>
        <v>View</v>
      </c>
    </row>
    <row r="1038" spans="1:21" ht="20.399999999999999">
      <c r="A1038" s="6">
        <v>43427.145856481482</v>
      </c>
      <c r="B1038" s="7" t="str">
        <f>HYPERLINK("https://twitter.com/Analitica","@Analitica")</f>
        <v>@Analitica</v>
      </c>
      <c r="C1038" s="8" t="s">
        <v>4203</v>
      </c>
      <c r="D1038" s="9" t="s">
        <v>4204</v>
      </c>
      <c r="E1038" s="10" t="str">
        <f>HYPERLINK("https://twitter.com/Analitica/status/1065794575103655936","1065794575103655936")</f>
        <v>1065794575103655936</v>
      </c>
      <c r="F1038" s="11" t="s">
        <v>4205</v>
      </c>
      <c r="G1038" s="12"/>
      <c r="H1038" s="12"/>
      <c r="I1038" s="13">
        <v>0</v>
      </c>
      <c r="J1038" s="13">
        <v>0</v>
      </c>
      <c r="K1038" s="14" t="str">
        <f>HYPERLINK("https://www.socialgest.net","SocialGest")</f>
        <v>SocialGest</v>
      </c>
      <c r="L1038" s="13">
        <v>104051</v>
      </c>
      <c r="M1038" s="13">
        <v>1916</v>
      </c>
      <c r="N1038" s="13">
        <v>1279</v>
      </c>
      <c r="O1038" s="15"/>
      <c r="P1038" s="6">
        <v>39949.635810185187</v>
      </c>
      <c r="Q1038" s="17" t="s">
        <v>383</v>
      </c>
      <c r="R1038" s="18" t="s">
        <v>4206</v>
      </c>
      <c r="S1038" s="11" t="s">
        <v>4207</v>
      </c>
      <c r="T1038" s="12"/>
      <c r="U1038" s="10" t="str">
        <f>HYPERLINK("https://pbs.twimg.com/profile_images/955464714116575233/pDqj4jzi.jpg","View")</f>
        <v>View</v>
      </c>
    </row>
    <row r="1039" spans="1:21" ht="40.799999999999997">
      <c r="A1039" s="6">
        <v>43427.145856481482</v>
      </c>
      <c r="B1039" s="7" t="str">
        <f>HYPERLINK("https://twitter.com/ENTORNOi","@ENTORNOi")</f>
        <v>@ENTORNOi</v>
      </c>
      <c r="C1039" s="8" t="s">
        <v>4208</v>
      </c>
      <c r="D1039" s="9" t="s">
        <v>2596</v>
      </c>
      <c r="E1039" s="10" t="str">
        <f>HYPERLINK("https://twitter.com/ENTORNOi/status/1065794575040561153","1065794575040561153")</f>
        <v>1065794575040561153</v>
      </c>
      <c r="F1039" s="11" t="s">
        <v>4209</v>
      </c>
      <c r="G1039" s="11" t="s">
        <v>4210</v>
      </c>
      <c r="H1039" s="12"/>
      <c r="I1039" s="13">
        <v>0</v>
      </c>
      <c r="J1039" s="13">
        <v>0</v>
      </c>
      <c r="K1039" s="14" t="str">
        <f>HYPERLINK("http://www.entornointeligente.com","NuevoATENTORNOI")</f>
        <v>NuevoATENTORNOI</v>
      </c>
      <c r="L1039" s="13">
        <v>133521</v>
      </c>
      <c r="M1039" s="13">
        <v>41381</v>
      </c>
      <c r="N1039" s="13">
        <v>1277</v>
      </c>
      <c r="O1039" s="15"/>
      <c r="P1039" s="6">
        <v>39994.083645833336</v>
      </c>
      <c r="Q1039" s="17" t="s">
        <v>104</v>
      </c>
      <c r="R1039" s="18" t="s">
        <v>4211</v>
      </c>
      <c r="S1039" s="11" t="s">
        <v>4212</v>
      </c>
      <c r="T1039" s="12"/>
      <c r="U1039" s="10" t="str">
        <f>HYPERLINK("https://pbs.twimg.com/profile_images/378800000572518035/83ae37ca851b262228997e87ebfcf97c.png","View")</f>
        <v>View</v>
      </c>
    </row>
    <row r="1040" spans="1:21" ht="40.799999999999997">
      <c r="A1040" s="6">
        <v>43427.140821759254</v>
      </c>
      <c r="B1040" s="7" t="str">
        <f>HYPERLINK("https://twitter.com/almayadeen_es","@almayadeen_es")</f>
        <v>@almayadeen_es</v>
      </c>
      <c r="C1040" s="8" t="s">
        <v>2327</v>
      </c>
      <c r="D1040" s="9" t="s">
        <v>4213</v>
      </c>
      <c r="E1040" s="10" t="str">
        <f>HYPERLINK("https://twitter.com/almayadeen_es/status/1065792748396208128","1065792748396208128")</f>
        <v>1065792748396208128</v>
      </c>
      <c r="F1040" s="11" t="s">
        <v>4214</v>
      </c>
      <c r="G1040" s="12"/>
      <c r="H1040" s="12"/>
      <c r="I1040" s="13">
        <v>2</v>
      </c>
      <c r="J1040" s="13">
        <v>0</v>
      </c>
      <c r="K1040" s="14" t="str">
        <f>HYPERLINK("http://espanol.almayadeen.net","AlMayadeenSpanish")</f>
        <v>AlMayadeenSpanish</v>
      </c>
      <c r="L1040" s="13">
        <v>13325</v>
      </c>
      <c r="M1040" s="13">
        <v>127</v>
      </c>
      <c r="N1040" s="13">
        <v>238</v>
      </c>
      <c r="O1040" s="16" t="s">
        <v>26</v>
      </c>
      <c r="P1040" s="6">
        <v>41900.325138888889</v>
      </c>
      <c r="Q1040" s="17" t="s">
        <v>2331</v>
      </c>
      <c r="R1040" s="18" t="s">
        <v>2333</v>
      </c>
      <c r="S1040" s="11" t="s">
        <v>2334</v>
      </c>
      <c r="T1040" s="12"/>
      <c r="U1040" s="10" t="str">
        <f>HYPERLINK("https://pbs.twimg.com/profile_images/816024764720484352/NlczJm7u.jpg","View")</f>
        <v>View</v>
      </c>
    </row>
    <row r="1041" spans="1:21" ht="20.399999999999999">
      <c r="A1041" s="6">
        <v>43427.139849537038</v>
      </c>
      <c r="B1041" s="7" t="str">
        <f>HYPERLINK("https://twitter.com/newsv24","@newsv24")</f>
        <v>@newsv24</v>
      </c>
      <c r="C1041" s="8" t="s">
        <v>4215</v>
      </c>
      <c r="D1041" s="9" t="s">
        <v>4216</v>
      </c>
      <c r="E1041" s="10" t="str">
        <f>HYPERLINK("https://twitter.com/newsv24/status/1065792397559439360","1065792397559439360")</f>
        <v>1065792397559439360</v>
      </c>
      <c r="F1041" s="11" t="s">
        <v>4217</v>
      </c>
      <c r="G1041" s="11" t="s">
        <v>4218</v>
      </c>
      <c r="H1041" s="12"/>
      <c r="I1041" s="13">
        <v>0</v>
      </c>
      <c r="J1041" s="13">
        <v>0</v>
      </c>
      <c r="K1041" s="14" t="str">
        <f>HYPERLINK("http://publicize.wp.com/","WordPress.com")</f>
        <v>WordPress.com</v>
      </c>
      <c r="L1041" s="13">
        <v>9</v>
      </c>
      <c r="M1041" s="13">
        <v>0</v>
      </c>
      <c r="N1041" s="13">
        <v>0</v>
      </c>
      <c r="O1041" s="15"/>
      <c r="P1041" s="6">
        <v>43333.995590277773</v>
      </c>
      <c r="Q1041" s="12"/>
      <c r="R1041" s="18" t="s">
        <v>4219</v>
      </c>
      <c r="S1041" s="11" t="s">
        <v>4220</v>
      </c>
      <c r="T1041" s="12"/>
      <c r="U1041" s="10" t="str">
        <f>HYPERLINK("https://pbs.twimg.com/profile_images/1054474206157639680/xvI2ObRw.jpg","View")</f>
        <v>View</v>
      </c>
    </row>
    <row r="1042" spans="1:21" ht="51">
      <c r="A1042" s="6">
        <v>43427.139537037037</v>
      </c>
      <c r="B1042" s="7" t="str">
        <f>HYPERLINK("https://twitter.com/nomad_de_cuba","@nomad_de_cuba")</f>
        <v>@nomad_de_cuba</v>
      </c>
      <c r="C1042" s="8" t="s">
        <v>96</v>
      </c>
      <c r="D1042" s="9" t="s">
        <v>4221</v>
      </c>
      <c r="E1042" s="10" t="str">
        <f>HYPERLINK("https://twitter.com/nomad_de_cuba/status/1065792285022011393","1065792285022011393")</f>
        <v>1065792285022011393</v>
      </c>
      <c r="F1042" s="11" t="s">
        <v>4222</v>
      </c>
      <c r="G1042" s="12"/>
      <c r="H1042" s="12"/>
      <c r="I1042" s="13">
        <v>0</v>
      </c>
      <c r="J1042" s="13">
        <v>0</v>
      </c>
      <c r="K1042" s="14" t="str">
        <f>HYPERLINK("https://ifttt.com","IFTTT")</f>
        <v>IFTTT</v>
      </c>
      <c r="L1042" s="13">
        <v>239</v>
      </c>
      <c r="M1042" s="13">
        <v>660</v>
      </c>
      <c r="N1042" s="13">
        <v>14</v>
      </c>
      <c r="O1042" s="15"/>
      <c r="P1042" s="6">
        <v>41216.001226851848</v>
      </c>
      <c r="Q1042" s="17" t="s">
        <v>101</v>
      </c>
      <c r="R1042" s="18" t="s">
        <v>102</v>
      </c>
      <c r="S1042" s="11" t="s">
        <v>103</v>
      </c>
      <c r="T1042" s="12"/>
      <c r="U1042" s="10" t="str">
        <f>HYPERLINK("https://pbs.twimg.com/profile_images/744912778364850176/qIDKaN9j.jpg","View")</f>
        <v>View</v>
      </c>
    </row>
    <row r="1043" spans="1:21" ht="40.799999999999997">
      <c r="A1043" s="6">
        <v>43427.138888888891</v>
      </c>
      <c r="B1043" s="7" t="str">
        <f>HYPERLINK("https://twitter.com/SputnikMundo","@SputnikMundo")</f>
        <v>@SputnikMundo</v>
      </c>
      <c r="C1043" s="8" t="s">
        <v>4114</v>
      </c>
      <c r="D1043" s="9" t="s">
        <v>3199</v>
      </c>
      <c r="E1043" s="10" t="str">
        <f>HYPERLINK("https://twitter.com/SputnikMundo/status/1065792047863537664","1065792047863537664")</f>
        <v>1065792047863537664</v>
      </c>
      <c r="F1043" s="11" t="s">
        <v>4223</v>
      </c>
      <c r="G1043" s="12"/>
      <c r="H1043" s="12"/>
      <c r="I1043" s="13">
        <v>4</v>
      </c>
      <c r="J1043" s="13">
        <v>7</v>
      </c>
      <c r="K1043" s="14" t="str">
        <f>HYPERLINK("https://about.twitter.com/products/tweetdeck","TweetDeck")</f>
        <v>TweetDeck</v>
      </c>
      <c r="L1043" s="13">
        <v>62300</v>
      </c>
      <c r="M1043" s="13">
        <v>148</v>
      </c>
      <c r="N1043" s="13">
        <v>1382</v>
      </c>
      <c r="O1043" s="16" t="s">
        <v>26</v>
      </c>
      <c r="P1043" s="6">
        <v>40590.534212962964</v>
      </c>
      <c r="Q1043" s="17" t="s">
        <v>4115</v>
      </c>
      <c r="R1043" s="18" t="s">
        <v>4116</v>
      </c>
      <c r="S1043" s="11" t="s">
        <v>4117</v>
      </c>
      <c r="T1043" s="12"/>
      <c r="U1043" s="10" t="str">
        <f>HYPERLINK("https://pbs.twimg.com/profile_images/1001124018030866432/SDDNffA0.jpg","View")</f>
        <v>View</v>
      </c>
    </row>
    <row r="1044" spans="1:21" ht="51">
      <c r="A1044" s="6">
        <v>43427.138518518521</v>
      </c>
      <c r="B1044" s="7" t="str">
        <f>HYPERLINK("https://twitter.com/cronostiempo","@cronostiempo")</f>
        <v>@cronostiempo</v>
      </c>
      <c r="C1044" s="8" t="s">
        <v>4075</v>
      </c>
      <c r="D1044" s="9" t="s">
        <v>4224</v>
      </c>
      <c r="E1044" s="10" t="str">
        <f>HYPERLINK("https://twitter.com/cronostiempo/status/1065791915319328768","1065791915319328768")</f>
        <v>1065791915319328768</v>
      </c>
      <c r="F1044" s="11" t="s">
        <v>4225</v>
      </c>
      <c r="G1044" s="12"/>
      <c r="H1044" s="12"/>
      <c r="I1044" s="13">
        <v>0</v>
      </c>
      <c r="J1044" s="13">
        <v>0</v>
      </c>
      <c r="K1044" s="14" t="str">
        <f>HYPERLINK("https://ifttt.com","IFTTT")</f>
        <v>IFTTT</v>
      </c>
      <c r="L1044" s="13">
        <v>310</v>
      </c>
      <c r="M1044" s="13">
        <v>134</v>
      </c>
      <c r="N1044" s="13">
        <v>12</v>
      </c>
      <c r="O1044" s="15"/>
      <c r="P1044" s="6">
        <v>39734.662152777775</v>
      </c>
      <c r="Q1044" s="17" t="s">
        <v>4076</v>
      </c>
      <c r="R1044" s="18" t="s">
        <v>4077</v>
      </c>
      <c r="S1044" s="11" t="s">
        <v>4078</v>
      </c>
      <c r="T1044" s="12"/>
      <c r="U1044" s="10" t="str">
        <f>HYPERLINK("https://pbs.twimg.com/profile_images/1621175937/cuba-cielo.jpg","View")</f>
        <v>View</v>
      </c>
    </row>
    <row r="1045" spans="1:21" ht="20.399999999999999">
      <c r="A1045" s="6">
        <v>43427.138333333336</v>
      </c>
      <c r="B1045" s="7" t="str">
        <f>HYPERLINK("https://twitter.com/diogenesherdez1","@diogenesherdez1")</f>
        <v>@diogenesherdez1</v>
      </c>
      <c r="C1045" s="8" t="s">
        <v>4226</v>
      </c>
      <c r="D1045" s="9" t="s">
        <v>3199</v>
      </c>
      <c r="E1045" s="10" t="str">
        <f>HYPERLINK("https://twitter.com/diogenesherdez1/status/1065791847941980160","1065791847941980160")</f>
        <v>1065791847941980160</v>
      </c>
      <c r="F1045" s="11" t="s">
        <v>2505</v>
      </c>
      <c r="G1045" s="12"/>
      <c r="H1045" s="12"/>
      <c r="I1045" s="13">
        <v>0</v>
      </c>
      <c r="J1045" s="13">
        <v>1</v>
      </c>
      <c r="K1045" s="14" t="str">
        <f>HYPERLINK("http://twitter.com/download/iphone","Twitter for iPhone")</f>
        <v>Twitter for iPhone</v>
      </c>
      <c r="L1045" s="13">
        <v>20884</v>
      </c>
      <c r="M1045" s="13">
        <v>16818</v>
      </c>
      <c r="N1045" s="13">
        <v>90</v>
      </c>
      <c r="O1045" s="15"/>
      <c r="P1045" s="6">
        <v>41379.010891203703</v>
      </c>
      <c r="Q1045" s="12"/>
      <c r="R1045" s="18" t="s">
        <v>4227</v>
      </c>
      <c r="S1045" s="12"/>
      <c r="T1045" s="12"/>
      <c r="U1045" s="10" t="str">
        <f>HYPERLINK("https://pbs.twimg.com/profile_images/876570172810813440/nuW3Z1v2.jpg","View")</f>
        <v>View</v>
      </c>
    </row>
    <row r="1046" spans="1:21" ht="20.399999999999999">
      <c r="A1046" s="6">
        <v>43427.132465277777</v>
      </c>
      <c r="B1046" s="7" t="str">
        <f>HYPERLINK("https://twitter.com/NDtitulares","@NDtitulares")</f>
        <v>@NDtitulares</v>
      </c>
      <c r="C1046" s="8" t="s">
        <v>4166</v>
      </c>
      <c r="D1046" s="9" t="s">
        <v>3190</v>
      </c>
      <c r="E1046" s="10" t="str">
        <f>HYPERLINK("https://twitter.com/NDtitulares/status/1065789719521320961","1065789719521320961")</f>
        <v>1065789719521320961</v>
      </c>
      <c r="F1046" s="11" t="s">
        <v>3191</v>
      </c>
      <c r="G1046" s="11" t="s">
        <v>4228</v>
      </c>
      <c r="H1046" s="12"/>
      <c r="I1046" s="13">
        <v>1</v>
      </c>
      <c r="J1046" s="13">
        <v>0</v>
      </c>
      <c r="K1046" s="14" t="str">
        <f>HYPERLINK("http://www.noticierodigital.com","PublicarTuitsDesdeWP")</f>
        <v>PublicarTuitsDesdeWP</v>
      </c>
      <c r="L1046" s="13">
        <v>717211</v>
      </c>
      <c r="M1046" s="13">
        <v>1611</v>
      </c>
      <c r="N1046" s="13">
        <v>3756</v>
      </c>
      <c r="O1046" s="15"/>
      <c r="P1046" s="6">
        <v>39930.715879629628</v>
      </c>
      <c r="Q1046" s="17" t="s">
        <v>104</v>
      </c>
      <c r="R1046" s="18" t="s">
        <v>4167</v>
      </c>
      <c r="S1046" s="11" t="s">
        <v>4168</v>
      </c>
      <c r="T1046" s="12"/>
      <c r="U1046" s="10" t="str">
        <f>HYPERLINK("https://pbs.twimg.com/profile_images/875451743815053313/Xr2jDG9I.jpg","View")</f>
        <v>View</v>
      </c>
    </row>
    <row r="1047" spans="1:21" ht="61.2">
      <c r="A1047" s="6">
        <v>43427.132361111115</v>
      </c>
      <c r="B1047" s="7" t="str">
        <f>HYPERLINK("https://twitter.com/SantiagoLuxemb1","@SantiagoLuxemb1")</f>
        <v>@SantiagoLuxemb1</v>
      </c>
      <c r="C1047" s="8" t="s">
        <v>195</v>
      </c>
      <c r="D1047" s="9" t="s">
        <v>4229</v>
      </c>
      <c r="E1047" s="10" t="str">
        <f>HYPERLINK("https://twitter.com/SantiagoLuxemb1/status/1065789681705603072","1065789681705603072")</f>
        <v>1065789681705603072</v>
      </c>
      <c r="F1047" s="12"/>
      <c r="G1047" s="11" t="s">
        <v>4230</v>
      </c>
      <c r="H1047" s="12"/>
      <c r="I1047" s="13">
        <v>0</v>
      </c>
      <c r="J1047" s="13">
        <v>0</v>
      </c>
      <c r="K1047" s="14" t="str">
        <f>HYPERLINK("http://twitter.com/download/android","Twitter for Android")</f>
        <v>Twitter for Android</v>
      </c>
      <c r="L1047" s="13">
        <v>71</v>
      </c>
      <c r="M1047" s="13">
        <v>391</v>
      </c>
      <c r="N1047" s="13">
        <v>0</v>
      </c>
      <c r="O1047" s="15"/>
      <c r="P1047" s="6">
        <v>43400.303402777776</v>
      </c>
      <c r="Q1047" s="12"/>
      <c r="R1047" s="18" t="s">
        <v>198</v>
      </c>
      <c r="S1047" s="12"/>
      <c r="T1047" s="12"/>
      <c r="U1047" s="10" t="str">
        <f>HYPERLINK("https://pbs.twimg.com/profile_images/1056052562850471936/ktgvYdZX.jpg","View")</f>
        <v>View</v>
      </c>
    </row>
    <row r="1048" spans="1:21" ht="30.6">
      <c r="A1048" s="6">
        <v>43427.131319444445</v>
      </c>
      <c r="B1048" s="7" t="str">
        <f>HYPERLINK("https://twitter.com/lefalandia","@lefalandia")</f>
        <v>@lefalandia</v>
      </c>
      <c r="C1048" s="8" t="s">
        <v>4231</v>
      </c>
      <c r="D1048" s="9" t="s">
        <v>4232</v>
      </c>
      <c r="E1048" s="10" t="str">
        <f>HYPERLINK("https://twitter.com/lefalandia/status/1065789305392676864","1065789305392676864")</f>
        <v>1065789305392676864</v>
      </c>
      <c r="F1048" s="12"/>
      <c r="G1048" s="12"/>
      <c r="H1048" s="12"/>
      <c r="I1048" s="13">
        <v>0</v>
      </c>
      <c r="J1048" s="13">
        <v>0</v>
      </c>
      <c r="K1048" s="14" t="str">
        <f>HYPERLINK("https://mobile.twitter.com","Twitter Lite")</f>
        <v>Twitter Lite</v>
      </c>
      <c r="L1048" s="13">
        <v>36</v>
      </c>
      <c r="M1048" s="13">
        <v>50</v>
      </c>
      <c r="N1048" s="13">
        <v>0</v>
      </c>
      <c r="O1048" s="15"/>
      <c r="P1048" s="6">
        <v>42865.050787037035</v>
      </c>
      <c r="Q1048" s="17" t="s">
        <v>1278</v>
      </c>
      <c r="R1048" s="18" t="s">
        <v>4233</v>
      </c>
      <c r="S1048" s="12"/>
      <c r="T1048" s="12"/>
      <c r="U1048" s="10" t="str">
        <f>HYPERLINK("https://pbs.twimg.com/profile_images/862084128967098368/UteTEBIi.jpg","View")</f>
        <v>View</v>
      </c>
    </row>
    <row r="1049" spans="1:21" ht="20.399999999999999">
      <c r="A1049" s="6">
        <v>43427.131249999999</v>
      </c>
      <c r="B1049" s="7" t="str">
        <f>HYPERLINK("https://twitter.com/sumariumcom","@sumariumcom")</f>
        <v>@sumariumcom</v>
      </c>
      <c r="C1049" s="8" t="s">
        <v>1974</v>
      </c>
      <c r="D1049" s="9" t="s">
        <v>1975</v>
      </c>
      <c r="E1049" s="10" t="str">
        <f>HYPERLINK("https://twitter.com/sumariumcom/status/1065789279740149761","1065789279740149761")</f>
        <v>1065789279740149761</v>
      </c>
      <c r="F1049" s="11" t="s">
        <v>1976</v>
      </c>
      <c r="G1049" s="11" t="s">
        <v>4234</v>
      </c>
      <c r="H1049" s="12"/>
      <c r="I1049" s="13">
        <v>1</v>
      </c>
      <c r="J1049" s="13">
        <v>0</v>
      </c>
      <c r="K1049" s="14" t="str">
        <f>HYPERLINK("https://about.twitter.com/products/tweetdeck","TweetDeck")</f>
        <v>TweetDeck</v>
      </c>
      <c r="L1049" s="13">
        <v>164226</v>
      </c>
      <c r="M1049" s="13">
        <v>994</v>
      </c>
      <c r="N1049" s="13">
        <v>1117</v>
      </c>
      <c r="O1049" s="15"/>
      <c r="P1049" s="6">
        <v>40977.809594907405</v>
      </c>
      <c r="Q1049" s="17" t="s">
        <v>1978</v>
      </c>
      <c r="R1049" s="19"/>
      <c r="S1049" s="11" t="s">
        <v>1979</v>
      </c>
      <c r="T1049" s="12"/>
      <c r="U1049" s="10" t="str">
        <f>HYPERLINK("https://pbs.twimg.com/profile_images/1061987847874469888/mok5IDTt.jpg","View")</f>
        <v>View</v>
      </c>
    </row>
    <row r="1050" spans="1:21" ht="30.6">
      <c r="A1050" s="6">
        <v>43427.128495370373</v>
      </c>
      <c r="B1050" s="7" t="str">
        <f>HYPERLINK("https://twitter.com/AgenciaTelam","@AgenciaTelam")</f>
        <v>@AgenciaTelam</v>
      </c>
      <c r="C1050" s="8" t="s">
        <v>4235</v>
      </c>
      <c r="D1050" s="9" t="s">
        <v>4236</v>
      </c>
      <c r="E1050" s="10" t="str">
        <f>HYPERLINK("https://twitter.com/AgenciaTelam/status/1065788282259341312","1065788282259341312")</f>
        <v>1065788282259341312</v>
      </c>
      <c r="F1050" s="11" t="s">
        <v>4237</v>
      </c>
      <c r="G1050" s="11" t="s">
        <v>4238</v>
      </c>
      <c r="H1050" s="12"/>
      <c r="I1050" s="13">
        <v>3</v>
      </c>
      <c r="J1050" s="13">
        <v>3</v>
      </c>
      <c r="K1050" s="14" t="str">
        <f>HYPERLINK("https://buffer.com","Buffer")</f>
        <v>Buffer</v>
      </c>
      <c r="L1050" s="13">
        <v>568502</v>
      </c>
      <c r="M1050" s="13">
        <v>136</v>
      </c>
      <c r="N1050" s="13">
        <v>3444</v>
      </c>
      <c r="O1050" s="16" t="s">
        <v>26</v>
      </c>
      <c r="P1050" s="6">
        <v>40478.375405092593</v>
      </c>
      <c r="Q1050" s="17" t="s">
        <v>39</v>
      </c>
      <c r="R1050" s="18" t="s">
        <v>4239</v>
      </c>
      <c r="S1050" s="11" t="s">
        <v>4240</v>
      </c>
      <c r="T1050" s="12"/>
      <c r="U1050" s="10" t="str">
        <f>HYPERLINK("https://pbs.twimg.com/profile_images/783330074443513856/wGWOKoGh.jpg","View")</f>
        <v>View</v>
      </c>
    </row>
    <row r="1051" spans="1:21" ht="40.799999999999997">
      <c r="A1051" s="6">
        <v>43427.128472222219</v>
      </c>
      <c r="B1051" s="7" t="str">
        <f>HYPERLINK("https://twitter.com/mundo_elP","@mundo_elP")</f>
        <v>@mundo_elP</v>
      </c>
      <c r="C1051" s="8" t="s">
        <v>4241</v>
      </c>
      <c r="D1051" s="9" t="s">
        <v>4242</v>
      </c>
      <c r="E1051" s="10" t="str">
        <f>HYPERLINK("https://twitter.com/mundo_elP/status/1065788273434521600","1065788273434521600")</f>
        <v>1065788273434521600</v>
      </c>
      <c r="F1051" s="12"/>
      <c r="G1051" s="11" t="s">
        <v>4243</v>
      </c>
      <c r="H1051" s="12"/>
      <c r="I1051" s="13">
        <v>2</v>
      </c>
      <c r="J1051" s="13">
        <v>2</v>
      </c>
      <c r="K1051" s="14" t="str">
        <f>HYPERLINK("https://about.twitter.com/products/tweetdeck","TweetDeck")</f>
        <v>TweetDeck</v>
      </c>
      <c r="L1051" s="13">
        <v>2369</v>
      </c>
      <c r="M1051" s="13">
        <v>52</v>
      </c>
      <c r="N1051" s="13">
        <v>21</v>
      </c>
      <c r="O1051" s="15"/>
      <c r="P1051" s="6">
        <v>42443.301979166667</v>
      </c>
      <c r="Q1051" s="12"/>
      <c r="R1051" s="18" t="s">
        <v>4244</v>
      </c>
      <c r="S1051" s="12"/>
      <c r="T1051" s="12"/>
      <c r="U1051" s="10" t="str">
        <f>HYPERLINK("https://pbs.twimg.com/profile_images/1035639165420032000/h52pXPRA.jpg","View")</f>
        <v>View</v>
      </c>
    </row>
    <row r="1052" spans="1:21" ht="163.19999999999999">
      <c r="A1052" s="6">
        <v>43427.128298611111</v>
      </c>
      <c r="B1052" s="7" t="str">
        <f>HYPERLINK("https://twitter.com/lduque5","@lduque5")</f>
        <v>@lduque5</v>
      </c>
      <c r="C1052" s="8" t="s">
        <v>4245</v>
      </c>
      <c r="D1052" s="9" t="s">
        <v>4246</v>
      </c>
      <c r="E1052" s="10" t="str">
        <f>HYPERLINK("https://twitter.com/lduque5/status/1065788210171838475","1065788210171838475")</f>
        <v>1065788210171838475</v>
      </c>
      <c r="F1052" s="11" t="s">
        <v>4247</v>
      </c>
      <c r="G1052" s="12"/>
      <c r="H1052" s="12"/>
      <c r="I1052" s="13">
        <v>0</v>
      </c>
      <c r="J1052" s="13">
        <v>0</v>
      </c>
      <c r="K1052" s="14" t="str">
        <f t="shared" ref="K1052:K1053" si="181">HYPERLINK("https://ifttt.com","IFTTT")</f>
        <v>IFTTT</v>
      </c>
      <c r="L1052" s="13">
        <v>27</v>
      </c>
      <c r="M1052" s="13">
        <v>2</v>
      </c>
      <c r="N1052" s="13">
        <v>1</v>
      </c>
      <c r="O1052" s="15"/>
      <c r="P1052" s="6">
        <v>41946.880995370375</v>
      </c>
      <c r="Q1052" s="17" t="s">
        <v>4248</v>
      </c>
      <c r="R1052" s="18" t="s">
        <v>4249</v>
      </c>
      <c r="S1052" s="11" t="s">
        <v>4250</v>
      </c>
      <c r="T1052" s="12"/>
      <c r="U1052" s="10" t="str">
        <f>HYPERLINK("https://pbs.twimg.com/profile_images/606667760798724096/cExLip5b.jpg","View")</f>
        <v>View</v>
      </c>
    </row>
    <row r="1053" spans="1:21" ht="81.599999999999994">
      <c r="A1053" s="6">
        <v>43427.128113425926</v>
      </c>
      <c r="B1053" s="7" t="str">
        <f>HYPERLINK("https://twitter.com/Utah_84101","@Utah_84101")</f>
        <v>@Utah_84101</v>
      </c>
      <c r="C1053" s="8" t="s">
        <v>4251</v>
      </c>
      <c r="D1053" s="9" t="s">
        <v>4246</v>
      </c>
      <c r="E1053" s="10" t="str">
        <f>HYPERLINK("https://twitter.com/Utah_84101/status/1065788145789255681","1065788145789255681")</f>
        <v>1065788145789255681</v>
      </c>
      <c r="F1053" s="11" t="s">
        <v>4247</v>
      </c>
      <c r="G1053" s="12"/>
      <c r="H1053" s="12"/>
      <c r="I1053" s="13">
        <v>0</v>
      </c>
      <c r="J1053" s="13">
        <v>0</v>
      </c>
      <c r="K1053" s="14" t="str">
        <f t="shared" si="181"/>
        <v>IFTTT</v>
      </c>
      <c r="L1053" s="13">
        <v>20</v>
      </c>
      <c r="M1053" s="13">
        <v>1</v>
      </c>
      <c r="N1053" s="13">
        <v>1</v>
      </c>
      <c r="O1053" s="15"/>
      <c r="P1053" s="6">
        <v>41857.710555555554</v>
      </c>
      <c r="Q1053" s="17" t="s">
        <v>4252</v>
      </c>
      <c r="R1053" s="18" t="s">
        <v>4253</v>
      </c>
      <c r="S1053" s="11" t="s">
        <v>4254</v>
      </c>
      <c r="T1053" s="12"/>
      <c r="U1053" s="10" t="str">
        <f>HYPERLINK("https://pbs.twimg.com/profile_images/796363804854677507/h65SFnI6.jpg","View")</f>
        <v>View</v>
      </c>
    </row>
    <row r="1054" spans="1:21" ht="40.799999999999997">
      <c r="A1054" s="6">
        <v>43427.128055555557</v>
      </c>
      <c r="B1054" s="7" t="str">
        <f>HYPERLINK("https://twitter.com/ConradioAnias","@ConradioAnias")</f>
        <v>@ConradioAnias</v>
      </c>
      <c r="C1054" s="8" t="s">
        <v>4255</v>
      </c>
      <c r="D1054" s="9" t="s">
        <v>4256</v>
      </c>
      <c r="E1054" s="10" t="str">
        <f>HYPERLINK("https://twitter.com/ConradioAnias/status/1065788122523463680","1065788122523463680")</f>
        <v>1065788122523463680</v>
      </c>
      <c r="F1054" s="11" t="s">
        <v>4257</v>
      </c>
      <c r="G1054" s="12"/>
      <c r="H1054" s="12"/>
      <c r="I1054" s="13">
        <v>1</v>
      </c>
      <c r="J1054" s="13">
        <v>2</v>
      </c>
      <c r="K1054" s="14" t="str">
        <f>HYPERLINK("http://twitter.com","Twitter Web Client")</f>
        <v>Twitter Web Client</v>
      </c>
      <c r="L1054" s="13">
        <v>117</v>
      </c>
      <c r="M1054" s="13">
        <v>108</v>
      </c>
      <c r="N1054" s="13">
        <v>7</v>
      </c>
      <c r="O1054" s="15"/>
      <c r="P1054" s="6">
        <v>42110.639189814814</v>
      </c>
      <c r="Q1054" s="12"/>
      <c r="R1054" s="18" t="s">
        <v>4258</v>
      </c>
      <c r="S1054" s="12"/>
      <c r="T1054" s="12"/>
      <c r="U1054" s="10" t="str">
        <f>HYPERLINK("https://pbs.twimg.com/profile_images/619169936326328320/9brBebhJ.jpg","View")</f>
        <v>View</v>
      </c>
    </row>
    <row r="1055" spans="1:21" ht="91.8">
      <c r="A1055" s="6">
        <v>43427.12773148148</v>
      </c>
      <c r="B1055" s="7" t="str">
        <f>HYPERLINK("https://twitter.com/NorthLasVegas_c","@NorthLasVegas_c")</f>
        <v>@NorthLasVegas_c</v>
      </c>
      <c r="C1055" s="8" t="s">
        <v>4259</v>
      </c>
      <c r="D1055" s="9" t="s">
        <v>4246</v>
      </c>
      <c r="E1055" s="10" t="str">
        <f>HYPERLINK("https://twitter.com/NorthLasVegas_c/status/1065788003556171776","1065788003556171776")</f>
        <v>1065788003556171776</v>
      </c>
      <c r="F1055" s="11" t="s">
        <v>4247</v>
      </c>
      <c r="G1055" s="12"/>
      <c r="H1055" s="12"/>
      <c r="I1055" s="13">
        <v>0</v>
      </c>
      <c r="J1055" s="13">
        <v>0</v>
      </c>
      <c r="K1055" s="14" t="str">
        <f>HYPERLINK("https://ifttt.com","IFTTT")</f>
        <v>IFTTT</v>
      </c>
      <c r="L1055" s="13">
        <v>179</v>
      </c>
      <c r="M1055" s="13">
        <v>24</v>
      </c>
      <c r="N1055" s="13">
        <v>1</v>
      </c>
      <c r="O1055" s="15"/>
      <c r="P1055" s="6">
        <v>41839.112222222218</v>
      </c>
      <c r="Q1055" s="17" t="s">
        <v>4259</v>
      </c>
      <c r="R1055" s="18" t="s">
        <v>4260</v>
      </c>
      <c r="S1055" s="11" t="s">
        <v>4261</v>
      </c>
      <c r="T1055" s="12"/>
      <c r="U1055" s="10" t="str">
        <f>HYPERLINK("https://pbs.twimg.com/profile_images/490295513317531649/l0ZnGYez.jpeg","View")</f>
        <v>View</v>
      </c>
    </row>
    <row r="1056" spans="1:21" ht="30.6">
      <c r="A1056" s="6">
        <v>43427.127523148149</v>
      </c>
      <c r="B1056" s="7" t="str">
        <f>HYPERLINK("https://twitter.com/Reforma","@Reforma")</f>
        <v>@Reforma</v>
      </c>
      <c r="C1056" s="8" t="s">
        <v>4263</v>
      </c>
      <c r="D1056" s="9" t="s">
        <v>4264</v>
      </c>
      <c r="E1056" s="10" t="str">
        <f>HYPERLINK("https://twitter.com/Reforma/status/1065787928377532417","1065787928377532417")</f>
        <v>1065787928377532417</v>
      </c>
      <c r="F1056" s="11" t="s">
        <v>4265</v>
      </c>
      <c r="G1056" s="12"/>
      <c r="H1056" s="12"/>
      <c r="I1056" s="13">
        <v>3</v>
      </c>
      <c r="J1056" s="13">
        <v>13</v>
      </c>
      <c r="K1056" s="14" t="str">
        <f>HYPERLINK("http://Sitio.com/callback.aspx","GRFeed")</f>
        <v>GRFeed</v>
      </c>
      <c r="L1056" s="13">
        <v>2603411</v>
      </c>
      <c r="M1056" s="13">
        <v>84</v>
      </c>
      <c r="N1056" s="13">
        <v>11134</v>
      </c>
      <c r="O1056" s="16" t="s">
        <v>26</v>
      </c>
      <c r="P1056" s="6">
        <v>39902.896400462967</v>
      </c>
      <c r="Q1056" s="17" t="s">
        <v>790</v>
      </c>
      <c r="R1056" s="18" t="s">
        <v>4266</v>
      </c>
      <c r="S1056" s="11" t="s">
        <v>4267</v>
      </c>
      <c r="T1056" s="12"/>
      <c r="U1056" s="10" t="str">
        <f>HYPERLINK("https://pbs.twimg.com/profile_images/912810042134380544/3aKsD3E2.jpg","View")</f>
        <v>View</v>
      </c>
    </row>
    <row r="1057" spans="1:21" ht="20.399999999999999">
      <c r="A1057" s="6">
        <v>43427.127303240741</v>
      </c>
      <c r="B1057" s="7" t="str">
        <f>HYPERLINK("https://twitter.com/Arturoas","@Arturoas")</f>
        <v>@Arturoas</v>
      </c>
      <c r="C1057" s="8" t="s">
        <v>4268</v>
      </c>
      <c r="D1057" s="9" t="s">
        <v>4269</v>
      </c>
      <c r="E1057" s="10" t="str">
        <f>HYPERLINK("https://twitter.com/Arturoas/status/1065787848941596672","1065787848941596672")</f>
        <v>1065787848941596672</v>
      </c>
      <c r="F1057" s="11" t="s">
        <v>4271</v>
      </c>
      <c r="G1057" s="12"/>
      <c r="H1057" s="12"/>
      <c r="I1057" s="13">
        <v>0</v>
      </c>
      <c r="J1057" s="13">
        <v>0</v>
      </c>
      <c r="K1057" s="14" t="str">
        <f>HYPERLINK("http://twitter.com/#!/download/ipad","Twitter for iPad")</f>
        <v>Twitter for iPad</v>
      </c>
      <c r="L1057" s="13">
        <v>1304</v>
      </c>
      <c r="M1057" s="13">
        <v>485</v>
      </c>
      <c r="N1057" s="13">
        <v>39</v>
      </c>
      <c r="O1057" s="15"/>
      <c r="P1057" s="6">
        <v>39931.794131944444</v>
      </c>
      <c r="Q1057" s="17" t="s">
        <v>28</v>
      </c>
      <c r="R1057" s="18" t="s">
        <v>4272</v>
      </c>
      <c r="S1057" s="11" t="s">
        <v>4273</v>
      </c>
      <c r="T1057" s="12"/>
      <c r="U1057" s="10" t="str">
        <f>HYPERLINK("https://pbs.twimg.com/profile_images/536214788083576833/-e2Je7wg.jpeg","View")</f>
        <v>View</v>
      </c>
    </row>
    <row r="1058" spans="1:21" ht="30.6">
      <c r="A1058" s="6">
        <v>43427.126817129625</v>
      </c>
      <c r="B1058" s="7" t="str">
        <f>HYPERLINK("https://twitter.com/mangelhdez","@mangelhdez")</f>
        <v>@mangelhdez</v>
      </c>
      <c r="C1058" s="8" t="s">
        <v>4276</v>
      </c>
      <c r="D1058" s="9" t="s">
        <v>4277</v>
      </c>
      <c r="E1058" s="10" t="str">
        <f>HYPERLINK("https://twitter.com/mangelhdez/status/1065787675398086657","1065787675398086657")</f>
        <v>1065787675398086657</v>
      </c>
      <c r="F1058" s="11" t="s">
        <v>4278</v>
      </c>
      <c r="G1058" s="12"/>
      <c r="H1058" s="12"/>
      <c r="I1058" s="13">
        <v>0</v>
      </c>
      <c r="J1058" s="13">
        <v>0</v>
      </c>
      <c r="K1058" s="14" t="str">
        <f t="shared" ref="K1058:K1061" si="182">HYPERLINK("http://www.reforma.com","GR_Feed")</f>
        <v>GR_Feed</v>
      </c>
      <c r="L1058" s="13">
        <v>58</v>
      </c>
      <c r="M1058" s="13">
        <v>32</v>
      </c>
      <c r="N1058" s="13">
        <v>7</v>
      </c>
      <c r="O1058" s="15"/>
      <c r="P1058" s="6">
        <v>40644.742037037038</v>
      </c>
      <c r="Q1058" s="17" t="s">
        <v>4279</v>
      </c>
      <c r="R1058" s="18" t="s">
        <v>4280</v>
      </c>
      <c r="S1058" s="11" t="s">
        <v>4281</v>
      </c>
      <c r="T1058" s="12"/>
      <c r="U1058" s="10" t="str">
        <f>HYPERLINK("https://pbs.twimg.com/profile_images/826150296007106561/bwpetogB.jpg","View")</f>
        <v>View</v>
      </c>
    </row>
    <row r="1059" spans="1:21" ht="30.6">
      <c r="A1059" s="6">
        <v>43427.126817129625</v>
      </c>
      <c r="B1059" s="7" t="str">
        <f>HYPERLINK("https://twitter.com/koke_ji","@koke_ji")</f>
        <v>@koke_ji</v>
      </c>
      <c r="C1059" s="8" t="s">
        <v>4282</v>
      </c>
      <c r="D1059" s="9" t="s">
        <v>4277</v>
      </c>
      <c r="E1059" s="10" t="str">
        <f>HYPERLINK("https://twitter.com/koke_ji/status/1065787674399776769","1065787674399776769")</f>
        <v>1065787674399776769</v>
      </c>
      <c r="F1059" s="11" t="s">
        <v>4278</v>
      </c>
      <c r="G1059" s="12"/>
      <c r="H1059" s="12"/>
      <c r="I1059" s="13">
        <v>0</v>
      </c>
      <c r="J1059" s="13">
        <v>0</v>
      </c>
      <c r="K1059" s="14" t="str">
        <f t="shared" si="182"/>
        <v>GR_Feed</v>
      </c>
      <c r="L1059" s="13">
        <v>238</v>
      </c>
      <c r="M1059" s="13">
        <v>565</v>
      </c>
      <c r="N1059" s="13">
        <v>15</v>
      </c>
      <c r="O1059" s="15"/>
      <c r="P1059" s="6">
        <v>40248.948680555557</v>
      </c>
      <c r="Q1059" s="17" t="s">
        <v>4283</v>
      </c>
      <c r="R1059" s="18" t="s">
        <v>4284</v>
      </c>
      <c r="S1059" s="12"/>
      <c r="T1059" s="12"/>
      <c r="U1059" s="10" t="str">
        <f>HYPERLINK("https://pbs.twimg.com/profile_images/735947817064112128/ktoLci0F.jpg","View")</f>
        <v>View</v>
      </c>
    </row>
    <row r="1060" spans="1:21" ht="30.6">
      <c r="A1060" s="6">
        <v>43427.126817129625</v>
      </c>
      <c r="B1060" s="7" t="str">
        <f>HYPERLINK("https://twitter.com/edithfalcon","@edithfalcon")</f>
        <v>@edithfalcon</v>
      </c>
      <c r="C1060" s="8" t="s">
        <v>4285</v>
      </c>
      <c r="D1060" s="9" t="s">
        <v>4277</v>
      </c>
      <c r="E1060" s="10" t="str">
        <f>HYPERLINK("https://twitter.com/edithfalcon/status/1065787672474595328","1065787672474595328")</f>
        <v>1065787672474595328</v>
      </c>
      <c r="F1060" s="11" t="s">
        <v>4278</v>
      </c>
      <c r="G1060" s="12"/>
      <c r="H1060" s="12"/>
      <c r="I1060" s="13">
        <v>0</v>
      </c>
      <c r="J1060" s="13">
        <v>0</v>
      </c>
      <c r="K1060" s="14" t="str">
        <f t="shared" si="182"/>
        <v>GR_Feed</v>
      </c>
      <c r="L1060" s="13">
        <v>90</v>
      </c>
      <c r="M1060" s="13">
        <v>115</v>
      </c>
      <c r="N1060" s="13">
        <v>7</v>
      </c>
      <c r="O1060" s="15"/>
      <c r="P1060" s="6">
        <v>40366.978229166663</v>
      </c>
      <c r="Q1060" s="17" t="s">
        <v>4286</v>
      </c>
      <c r="R1060" s="18" t="s">
        <v>4287</v>
      </c>
      <c r="S1060" s="12"/>
      <c r="T1060" s="12"/>
      <c r="U1060" s="10" t="str">
        <f>HYPERLINK("https://pbs.twimg.com/profile_images/464528972202524672/CHbHigvO.jpeg","View")</f>
        <v>View</v>
      </c>
    </row>
    <row r="1061" spans="1:21" ht="30.6">
      <c r="A1061" s="6">
        <v>43427.126805555556</v>
      </c>
      <c r="B1061" s="7" t="str">
        <f>HYPERLINK("https://twitter.com/Davidad90210","@Davidad90210")</f>
        <v>@Davidad90210</v>
      </c>
      <c r="C1061" s="8" t="s">
        <v>4288</v>
      </c>
      <c r="D1061" s="9" t="s">
        <v>4277</v>
      </c>
      <c r="E1061" s="10" t="str">
        <f>HYPERLINK("https://twitter.com/Davidad90210/status/1065787670717218816","1065787670717218816")</f>
        <v>1065787670717218816</v>
      </c>
      <c r="F1061" s="11" t="s">
        <v>4278</v>
      </c>
      <c r="G1061" s="12"/>
      <c r="H1061" s="12"/>
      <c r="I1061" s="13">
        <v>0</v>
      </c>
      <c r="J1061" s="13">
        <v>0</v>
      </c>
      <c r="K1061" s="14" t="str">
        <f t="shared" si="182"/>
        <v>GR_Feed</v>
      </c>
      <c r="L1061" s="13">
        <v>121</v>
      </c>
      <c r="M1061" s="13">
        <v>327</v>
      </c>
      <c r="N1061" s="13">
        <v>8</v>
      </c>
      <c r="O1061" s="15"/>
      <c r="P1061" s="6">
        <v>40308.871967592597</v>
      </c>
      <c r="Q1061" s="17" t="s">
        <v>4286</v>
      </c>
      <c r="R1061" s="18" t="s">
        <v>4289</v>
      </c>
      <c r="S1061" s="12"/>
      <c r="T1061" s="12"/>
      <c r="U1061" s="10" t="str">
        <f>HYPERLINK("https://pbs.twimg.com/profile_images/1366806791/Imagen4.jpg","View")</f>
        <v>View</v>
      </c>
    </row>
    <row r="1062" spans="1:21" ht="40.799999999999997">
      <c r="A1062" s="6">
        <v>43427.126157407409</v>
      </c>
      <c r="B1062" s="7" t="str">
        <f>HYPERLINK("https://twitter.com/lorenaglez1711","@lorenaglez1711")</f>
        <v>@lorenaglez1711</v>
      </c>
      <c r="C1062" s="8" t="s">
        <v>4290</v>
      </c>
      <c r="D1062" s="9" t="s">
        <v>4291</v>
      </c>
      <c r="E1062" s="10" t="str">
        <f>HYPERLINK("https://twitter.com/lorenaglez1711/status/1065787435953651712","1065787435953651712")</f>
        <v>1065787435953651712</v>
      </c>
      <c r="F1062" s="12"/>
      <c r="G1062" s="12"/>
      <c r="H1062" s="12"/>
      <c r="I1062" s="13">
        <v>1</v>
      </c>
      <c r="J1062" s="13">
        <v>15</v>
      </c>
      <c r="K1062" s="14" t="str">
        <f>HYPERLINK("http://twitter.com/download/iphone","Twitter for iPhone")</f>
        <v>Twitter for iPhone</v>
      </c>
      <c r="L1062" s="13">
        <v>25708</v>
      </c>
      <c r="M1062" s="13">
        <v>633</v>
      </c>
      <c r="N1062" s="13">
        <v>341</v>
      </c>
      <c r="O1062" s="15"/>
      <c r="P1062" s="6">
        <v>40367.968171296292</v>
      </c>
      <c r="Q1062" s="17" t="s">
        <v>4292</v>
      </c>
      <c r="R1062" s="18" t="s">
        <v>4293</v>
      </c>
      <c r="S1062" s="12"/>
      <c r="T1062" s="12"/>
      <c r="U1062" s="10" t="str">
        <f>HYPERLINK("https://pbs.twimg.com/profile_images/980596864218206211/6Yv5Thc3.jpg","View")</f>
        <v>View</v>
      </c>
    </row>
    <row r="1063" spans="1:21" ht="30.6">
      <c r="A1063" s="6">
        <v>43427.125891203701</v>
      </c>
      <c r="B1063" s="7" t="str">
        <f>HYPERLINK("https://twitter.com/reformainter","@reformainter")</f>
        <v>@reformainter</v>
      </c>
      <c r="C1063" s="8" t="s">
        <v>4294</v>
      </c>
      <c r="D1063" s="9" t="s">
        <v>4264</v>
      </c>
      <c r="E1063" s="10" t="str">
        <f>HYPERLINK("https://twitter.com/reformainter/status/1065787337790115841","1065787337790115841")</f>
        <v>1065787337790115841</v>
      </c>
      <c r="F1063" s="11" t="s">
        <v>4295</v>
      </c>
      <c r="G1063" s="12"/>
      <c r="H1063" s="12"/>
      <c r="I1063" s="13">
        <v>3</v>
      </c>
      <c r="J1063" s="13">
        <v>0</v>
      </c>
      <c r="K1063" s="14" t="str">
        <f>HYPERLINK("http://www.reforma.com","GR_Feed")</f>
        <v>GR_Feed</v>
      </c>
      <c r="L1063" s="13">
        <v>18879</v>
      </c>
      <c r="M1063" s="13">
        <v>677</v>
      </c>
      <c r="N1063" s="13">
        <v>536</v>
      </c>
      <c r="O1063" s="16" t="s">
        <v>26</v>
      </c>
      <c r="P1063" s="6">
        <v>39924.795486111107</v>
      </c>
      <c r="Q1063" s="17" t="s">
        <v>790</v>
      </c>
      <c r="R1063" s="18" t="s">
        <v>4296</v>
      </c>
      <c r="S1063" s="11" t="s">
        <v>4297</v>
      </c>
      <c r="T1063" s="12"/>
      <c r="U1063" s="10" t="str">
        <f>HYPERLINK("https://pbs.twimg.com/profile_images/880125054926835714/PR0dM_Um.jpg","View")</f>
        <v>View</v>
      </c>
    </row>
    <row r="1064" spans="1:21" ht="40.799999999999997">
      <c r="A1064" s="6">
        <v>43427.125763888893</v>
      </c>
      <c r="B1064" s="7" t="str">
        <f>HYPERLINK("https://twitter.com/CanalCaribeCuba","@CanalCaribeCuba")</f>
        <v>@CanalCaribeCuba</v>
      </c>
      <c r="C1064" s="8" t="s">
        <v>4298</v>
      </c>
      <c r="D1064" s="9" t="s">
        <v>4299</v>
      </c>
      <c r="E1064" s="10" t="str">
        <f>HYPERLINK("https://twitter.com/CanalCaribeCuba/status/1065787291774402560","1065787291774402560")</f>
        <v>1065787291774402560</v>
      </c>
      <c r="F1064" s="11" t="s">
        <v>4300</v>
      </c>
      <c r="G1064" s="12"/>
      <c r="H1064" s="12"/>
      <c r="I1064" s="13">
        <v>0</v>
      </c>
      <c r="J1064" s="13">
        <v>1</v>
      </c>
      <c r="K1064" s="14" t="str">
        <f>HYPERLINK("https://www.google.com/","Google")</f>
        <v>Google</v>
      </c>
      <c r="L1064" s="13">
        <v>2210</v>
      </c>
      <c r="M1064" s="13">
        <v>108</v>
      </c>
      <c r="N1064" s="13">
        <v>35</v>
      </c>
      <c r="O1064" s="15"/>
      <c r="P1064" s="6">
        <v>42532.872592592597</v>
      </c>
      <c r="Q1064" s="17" t="s">
        <v>40</v>
      </c>
      <c r="R1064" s="18" t="s">
        <v>4301</v>
      </c>
      <c r="S1064" s="11" t="s">
        <v>4302</v>
      </c>
      <c r="T1064" s="12"/>
      <c r="U1064" s="10" t="str">
        <f>HYPERLINK("https://pbs.twimg.com/profile_images/1047841365399199744/y6YifkLE.jpg","View")</f>
        <v>View</v>
      </c>
    </row>
    <row r="1065" spans="1:21" ht="30.6">
      <c r="A1065" s="6">
        <v>43427.124097222222</v>
      </c>
      <c r="B1065" s="7" t="str">
        <f>HYPERLINK("https://twitter.com/rodrigoslay","@rodrigoslay")</f>
        <v>@rodrigoslay</v>
      </c>
      <c r="C1065" s="8" t="s">
        <v>4303</v>
      </c>
      <c r="D1065" s="9" t="s">
        <v>4304</v>
      </c>
      <c r="E1065" s="10" t="str">
        <f>HYPERLINK("https://twitter.com/rodrigoslay/status/1065786689212297217","1065786689212297217")</f>
        <v>1065786689212297217</v>
      </c>
      <c r="F1065" s="11" t="s">
        <v>4305</v>
      </c>
      <c r="G1065" s="12"/>
      <c r="H1065" s="12"/>
      <c r="I1065" s="13">
        <v>0</v>
      </c>
      <c r="J1065" s="13">
        <v>0</v>
      </c>
      <c r="K1065" s="14" t="str">
        <f>HYPERLINK("http://www.facebook.com/twitter","Facebook")</f>
        <v>Facebook</v>
      </c>
      <c r="L1065" s="13">
        <v>2166</v>
      </c>
      <c r="M1065" s="13">
        <v>2365</v>
      </c>
      <c r="N1065" s="13">
        <v>53</v>
      </c>
      <c r="O1065" s="15"/>
      <c r="P1065" s="6">
        <v>39671.974479166667</v>
      </c>
      <c r="Q1065" s="17" t="s">
        <v>4306</v>
      </c>
      <c r="R1065" s="18" t="s">
        <v>4307</v>
      </c>
      <c r="S1065" s="11" t="s">
        <v>567</v>
      </c>
      <c r="T1065" s="12"/>
      <c r="U1065" s="10" t="str">
        <f>HYPERLINK("https://pbs.twimg.com/profile_images/560623998984134656/36G8dUlo.jpeg","View")</f>
        <v>View</v>
      </c>
    </row>
    <row r="1066" spans="1:21" ht="40.799999999999997">
      <c r="A1066" s="6">
        <v>43427.124074074076</v>
      </c>
      <c r="B1066" s="7" t="str">
        <f>HYPERLINK("https://twitter.com/slaymultimedios","@slaymultimedios")</f>
        <v>@slaymultimedios</v>
      </c>
      <c r="C1066" s="8" t="s">
        <v>562</v>
      </c>
      <c r="D1066" s="9" t="s">
        <v>4308</v>
      </c>
      <c r="E1066" s="10" t="str">
        <f>HYPERLINK("https://twitter.com/slaymultimedios/status/1065786679963918341","1065786679963918341")</f>
        <v>1065786679963918341</v>
      </c>
      <c r="F1066" s="11" t="s">
        <v>4309</v>
      </c>
      <c r="G1066" s="12"/>
      <c r="H1066" s="12"/>
      <c r="I1066" s="13">
        <v>0</v>
      </c>
      <c r="J1066" s="13">
        <v>0</v>
      </c>
      <c r="K1066" s="14" t="str">
        <f>HYPERLINK("http://www.slaymultimedios.com","WebSiteSlayMultimedios")</f>
        <v>WebSiteSlayMultimedios</v>
      </c>
      <c r="L1066" s="13">
        <v>41749</v>
      </c>
      <c r="M1066" s="13">
        <v>178</v>
      </c>
      <c r="N1066" s="13">
        <v>410</v>
      </c>
      <c r="O1066" s="15"/>
      <c r="P1066" s="6">
        <v>40209.93105324074</v>
      </c>
      <c r="Q1066" s="17" t="s">
        <v>565</v>
      </c>
      <c r="R1066" s="18" t="s">
        <v>566</v>
      </c>
      <c r="S1066" s="11" t="s">
        <v>567</v>
      </c>
      <c r="T1066" s="12"/>
      <c r="U1066" s="10" t="str">
        <f>HYPERLINK("https://pbs.twimg.com/profile_images/714690465916817408/1NXaiuED.jpg","View")</f>
        <v>View</v>
      </c>
    </row>
    <row r="1067" spans="1:21" ht="40.799999999999997">
      <c r="A1067" s="6">
        <v>43427.123923611114</v>
      </c>
      <c r="B1067" s="7" t="str">
        <f>HYPERLINK("https://twitter.com/SrCarbonell","@SrCarbonell")</f>
        <v>@SrCarbonell</v>
      </c>
      <c r="C1067" s="8" t="s">
        <v>4310</v>
      </c>
      <c r="D1067" s="9" t="s">
        <v>4311</v>
      </c>
      <c r="E1067" s="10" t="str">
        <f>HYPERLINK("https://twitter.com/SrCarbonell/status/1065786625412800513","1065786625412800513")</f>
        <v>1065786625412800513</v>
      </c>
      <c r="F1067" s="12"/>
      <c r="G1067" s="11" t="s">
        <v>4312</v>
      </c>
      <c r="H1067" s="12"/>
      <c r="I1067" s="13">
        <v>0</v>
      </c>
      <c r="J1067" s="13">
        <v>0</v>
      </c>
      <c r="K1067" s="14" t="str">
        <f>HYPERLINK("http://twitter.com/download/android","Twitter for Android")</f>
        <v>Twitter for Android</v>
      </c>
      <c r="L1067" s="13">
        <v>1188</v>
      </c>
      <c r="M1067" s="13">
        <v>303</v>
      </c>
      <c r="N1067" s="13">
        <v>33</v>
      </c>
      <c r="O1067" s="15"/>
      <c r="P1067" s="6">
        <v>40874.803842592592</v>
      </c>
      <c r="Q1067" s="17" t="s">
        <v>4313</v>
      </c>
      <c r="R1067" s="18" t="s">
        <v>4314</v>
      </c>
      <c r="S1067" s="11" t="s">
        <v>4315</v>
      </c>
      <c r="T1067" s="12"/>
      <c r="U1067" s="10" t="str">
        <f>HYPERLINK("https://pbs.twimg.com/profile_images/1062130959041093632/LwUz8NBG.jpg","View")</f>
        <v>View</v>
      </c>
    </row>
    <row r="1068" spans="1:21" ht="40.799999999999997">
      <c r="A1068" s="6">
        <v>43427.123460648145</v>
      </c>
      <c r="B1068" s="7" t="str">
        <f>HYPERLINK("https://twitter.com/CanalCaribeCuba","@CanalCaribeCuba")</f>
        <v>@CanalCaribeCuba</v>
      </c>
      <c r="C1068" s="8" t="s">
        <v>4298</v>
      </c>
      <c r="D1068" s="9" t="s">
        <v>4316</v>
      </c>
      <c r="E1068" s="10" t="str">
        <f>HYPERLINK("https://twitter.com/CanalCaribeCuba/status/1065786459075039232","1065786459075039232")</f>
        <v>1065786459075039232</v>
      </c>
      <c r="F1068" s="11" t="s">
        <v>4317</v>
      </c>
      <c r="G1068" s="12"/>
      <c r="H1068" s="12"/>
      <c r="I1068" s="13">
        <v>0</v>
      </c>
      <c r="J1068" s="13">
        <v>0</v>
      </c>
      <c r="K1068" s="14" t="str">
        <f>HYPERLINK("https://www.google.com/","Google")</f>
        <v>Google</v>
      </c>
      <c r="L1068" s="13">
        <v>2210</v>
      </c>
      <c r="M1068" s="13">
        <v>108</v>
      </c>
      <c r="N1068" s="13">
        <v>35</v>
      </c>
      <c r="O1068" s="15"/>
      <c r="P1068" s="6">
        <v>42532.872592592597</v>
      </c>
      <c r="Q1068" s="17" t="s">
        <v>40</v>
      </c>
      <c r="R1068" s="18" t="s">
        <v>4301</v>
      </c>
      <c r="S1068" s="11" t="s">
        <v>4302</v>
      </c>
      <c r="T1068" s="12"/>
      <c r="U1068" s="10" t="str">
        <f>HYPERLINK("https://pbs.twimg.com/profile_images/1047841365399199744/y6YifkLE.jpg","View")</f>
        <v>View</v>
      </c>
    </row>
    <row r="1069" spans="1:21" ht="40.799999999999997">
      <c r="A1069" s="6">
        <v>43427.11917824074</v>
      </c>
      <c r="B1069" s="7" t="str">
        <f>HYPERLINK("https://twitter.com/luzmarinaotaola","@luzmarinaotaola")</f>
        <v>@luzmarinaotaola</v>
      </c>
      <c r="C1069" s="8" t="s">
        <v>2731</v>
      </c>
      <c r="D1069" s="9" t="s">
        <v>4318</v>
      </c>
      <c r="E1069" s="10" t="str">
        <f>HYPERLINK("https://twitter.com/luzmarinaotaola/status/1065784906473713664","1065784906473713664")</f>
        <v>1065784906473713664</v>
      </c>
      <c r="F1069" s="17" t="s">
        <v>4319</v>
      </c>
      <c r="G1069" s="12"/>
      <c r="H1069" s="12"/>
      <c r="I1069" s="13">
        <v>0</v>
      </c>
      <c r="J1069" s="13">
        <v>0</v>
      </c>
      <c r="K1069" s="14" t="str">
        <f>HYPERLINK("http://twitter.com/download/iphone","Twitter for iPhone")</f>
        <v>Twitter for iPhone</v>
      </c>
      <c r="L1069" s="13">
        <v>1553</v>
      </c>
      <c r="M1069" s="13">
        <v>1814</v>
      </c>
      <c r="N1069" s="13">
        <v>12</v>
      </c>
      <c r="O1069" s="15"/>
      <c r="P1069" s="6">
        <v>40264.869097222225</v>
      </c>
      <c r="Q1069" s="17" t="s">
        <v>2733</v>
      </c>
      <c r="R1069" s="18" t="s">
        <v>2734</v>
      </c>
      <c r="S1069" s="12"/>
      <c r="T1069" s="12"/>
      <c r="U1069" s="10" t="str">
        <f>HYPERLINK("https://pbs.twimg.com/profile_images/1050911842510483456/Q-429Igk.jpg","View")</f>
        <v>View</v>
      </c>
    </row>
    <row r="1070" spans="1:21" ht="40.799999999999997">
      <c r="A1070" s="6">
        <v>43427.118935185186</v>
      </c>
      <c r="B1070" s="7" t="str">
        <f>HYPERLINK("https://twitter.com/Canal_Z_","@Canal_Z_")</f>
        <v>@Canal_Z_</v>
      </c>
      <c r="C1070" s="8" t="s">
        <v>4320</v>
      </c>
      <c r="D1070" s="9" t="s">
        <v>2796</v>
      </c>
      <c r="E1070" s="10" t="str">
        <f>HYPERLINK("https://twitter.com/Canal_Z_/status/1065784816019349504","1065784816019349504")</f>
        <v>1065784816019349504</v>
      </c>
      <c r="F1070" s="11" t="s">
        <v>2375</v>
      </c>
      <c r="G1070" s="11" t="s">
        <v>4321</v>
      </c>
      <c r="H1070" s="12"/>
      <c r="I1070" s="13">
        <v>0</v>
      </c>
      <c r="J1070" s="13">
        <v>0</v>
      </c>
      <c r="K1070" s="14" t="str">
        <f t="shared" ref="K1070:K1072" si="183">HYPERLINK("http://twitter.com","Twitter Web Client")</f>
        <v>Twitter Web Client</v>
      </c>
      <c r="L1070" s="13">
        <v>2272</v>
      </c>
      <c r="M1070" s="13">
        <v>4991</v>
      </c>
      <c r="N1070" s="13">
        <v>6</v>
      </c>
      <c r="O1070" s="15"/>
      <c r="P1070" s="6">
        <v>41462.275254629625</v>
      </c>
      <c r="Q1070" s="17" t="s">
        <v>28</v>
      </c>
      <c r="R1070" s="18" t="s">
        <v>4322</v>
      </c>
      <c r="S1070" s="12"/>
      <c r="T1070" s="12"/>
      <c r="U1070" s="10" t="str">
        <f>HYPERLINK("https://pbs.twimg.com/profile_images/1008407123242422272/aENpWjy6.jpg","View")</f>
        <v>View</v>
      </c>
    </row>
    <row r="1071" spans="1:21" ht="51">
      <c r="A1071" s="6">
        <v>43427.116932870369</v>
      </c>
      <c r="B1071" s="7" t="str">
        <f t="shared" ref="B1071:B1072" si="184">HYPERLINK("https://twitter.com/RadioCuervoUru","@RadioCuervoUru")</f>
        <v>@RadioCuervoUru</v>
      </c>
      <c r="C1071" s="8" t="s">
        <v>4323</v>
      </c>
      <c r="D1071" s="9" t="s">
        <v>4324</v>
      </c>
      <c r="E1071" s="10" t="str">
        <f>HYPERLINK("https://twitter.com/RadioCuervoUru/status/1065784090274816001","1065784090274816001")</f>
        <v>1065784090274816001</v>
      </c>
      <c r="F1071" s="11" t="s">
        <v>4325</v>
      </c>
      <c r="G1071" s="11" t="s">
        <v>4326</v>
      </c>
      <c r="H1071" s="12"/>
      <c r="I1071" s="13">
        <v>0</v>
      </c>
      <c r="J1071" s="13">
        <v>0</v>
      </c>
      <c r="K1071" s="14" t="str">
        <f t="shared" si="183"/>
        <v>Twitter Web Client</v>
      </c>
      <c r="L1071" s="13">
        <v>435</v>
      </c>
      <c r="M1071" s="13">
        <v>648</v>
      </c>
      <c r="N1071" s="13">
        <v>5</v>
      </c>
      <c r="O1071" s="15"/>
      <c r="P1071" s="6">
        <v>42069.341226851851</v>
      </c>
      <c r="Q1071" s="12"/>
      <c r="R1071" s="19"/>
      <c r="S1071" s="12"/>
      <c r="T1071" s="12"/>
      <c r="U1071" s="10" t="str">
        <f t="shared" ref="U1071:U1072" si="185">HYPERLINK("https://pbs.twimg.com/profile_images/573743614167150592/BHhJWHUW.jpeg","View")</f>
        <v>View</v>
      </c>
    </row>
    <row r="1072" spans="1:21" ht="51">
      <c r="A1072" s="6">
        <v>43427.115416666667</v>
      </c>
      <c r="B1072" s="7" t="str">
        <f t="shared" si="184"/>
        <v>@RadioCuervoUru</v>
      </c>
      <c r="C1072" s="8" t="s">
        <v>4323</v>
      </c>
      <c r="D1072" s="9" t="s">
        <v>4327</v>
      </c>
      <c r="E1072" s="10" t="str">
        <f>HYPERLINK("https://twitter.com/RadioCuervoUru/status/1065783542687387649","1065783542687387649")</f>
        <v>1065783542687387649</v>
      </c>
      <c r="F1072" s="11" t="s">
        <v>4328</v>
      </c>
      <c r="G1072" s="11" t="s">
        <v>4329</v>
      </c>
      <c r="H1072" s="12"/>
      <c r="I1072" s="13">
        <v>0</v>
      </c>
      <c r="J1072" s="13">
        <v>0</v>
      </c>
      <c r="K1072" s="14" t="str">
        <f t="shared" si="183"/>
        <v>Twitter Web Client</v>
      </c>
      <c r="L1072" s="13">
        <v>435</v>
      </c>
      <c r="M1072" s="13">
        <v>648</v>
      </c>
      <c r="N1072" s="13">
        <v>5</v>
      </c>
      <c r="O1072" s="15"/>
      <c r="P1072" s="6">
        <v>42069.341226851851</v>
      </c>
      <c r="Q1072" s="12"/>
      <c r="R1072" s="19"/>
      <c r="S1072" s="12"/>
      <c r="T1072" s="12"/>
      <c r="U1072" s="10" t="str">
        <f t="shared" si="185"/>
        <v>View</v>
      </c>
    </row>
    <row r="1073" spans="1:21" ht="20.399999999999999">
      <c r="A1073" s="6">
        <v>43427.115208333329</v>
      </c>
      <c r="B1073" s="7" t="str">
        <f>HYPERLINK("https://twitter.com/CibaoAldia","@CibaoAldia")</f>
        <v>@CibaoAldia</v>
      </c>
      <c r="C1073" s="8" t="s">
        <v>4330</v>
      </c>
      <c r="D1073" s="9" t="s">
        <v>4331</v>
      </c>
      <c r="E1073" s="10" t="str">
        <f>HYPERLINK("https://twitter.com/CibaoAldia/status/1065783465399017473","1065783465399017473")</f>
        <v>1065783465399017473</v>
      </c>
      <c r="F1073" s="11" t="s">
        <v>4332</v>
      </c>
      <c r="G1073" s="12"/>
      <c r="H1073" s="12"/>
      <c r="I1073" s="13">
        <v>0</v>
      </c>
      <c r="J1073" s="13">
        <v>0</v>
      </c>
      <c r="K1073" s="14" t="str">
        <f t="shared" ref="K1073:K1074" si="186">HYPERLINK("http://publicize.wp.com/","WordPress.com")</f>
        <v>WordPress.com</v>
      </c>
      <c r="L1073" s="13">
        <v>733</v>
      </c>
      <c r="M1073" s="13">
        <v>652</v>
      </c>
      <c r="N1073" s="13">
        <v>8</v>
      </c>
      <c r="O1073" s="15"/>
      <c r="P1073" s="6">
        <v>40714.974606481483</v>
      </c>
      <c r="Q1073" s="12"/>
      <c r="R1073" s="18" t="s">
        <v>4333</v>
      </c>
      <c r="S1073" s="11" t="s">
        <v>4334</v>
      </c>
      <c r="T1073" s="12"/>
      <c r="U1073" s="10" t="str">
        <f>HYPERLINK("https://pbs.twimg.com/profile_images/1045769750150754304/P59VV67q.jpg","View")</f>
        <v>View</v>
      </c>
    </row>
    <row r="1074" spans="1:21" ht="20.399999999999999">
      <c r="A1074" s="6">
        <v>43427.115173611106</v>
      </c>
      <c r="B1074" s="7" t="str">
        <f>HYPERLINK("https://twitter.com/Cibaomarketing","@Cibaomarketing")</f>
        <v>@Cibaomarketing</v>
      </c>
      <c r="C1074" s="8" t="s">
        <v>4335</v>
      </c>
      <c r="D1074" s="9" t="s">
        <v>4331</v>
      </c>
      <c r="E1074" s="10" t="str">
        <f>HYPERLINK("https://twitter.com/Cibaomarketing/status/1065783455609438214","1065783455609438214")</f>
        <v>1065783455609438214</v>
      </c>
      <c r="F1074" s="11" t="s">
        <v>4332</v>
      </c>
      <c r="G1074" s="12"/>
      <c r="H1074" s="12"/>
      <c r="I1074" s="13">
        <v>0</v>
      </c>
      <c r="J1074" s="13">
        <v>0</v>
      </c>
      <c r="K1074" s="14" t="str">
        <f t="shared" si="186"/>
        <v>WordPress.com</v>
      </c>
      <c r="L1074" s="13">
        <v>1438</v>
      </c>
      <c r="M1074" s="13">
        <v>1114</v>
      </c>
      <c r="N1074" s="13">
        <v>13</v>
      </c>
      <c r="O1074" s="15"/>
      <c r="P1074" s="6">
        <v>40319.793194444443</v>
      </c>
      <c r="Q1074" s="17" t="s">
        <v>4336</v>
      </c>
      <c r="R1074" s="18" t="s">
        <v>4337</v>
      </c>
      <c r="S1074" s="11" t="s">
        <v>4334</v>
      </c>
      <c r="T1074" s="12"/>
      <c r="U1074" s="10" t="str">
        <f>HYPERLINK("https://pbs.twimg.com/profile_images/1041816970813997056/PVGYXUh5.jpg","View")</f>
        <v>View</v>
      </c>
    </row>
    <row r="1075" spans="1:21" ht="30.6">
      <c r="A1075" s="6">
        <v>43427.114039351851</v>
      </c>
      <c r="B1075" s="7" t="str">
        <f>HYPERLINK("https://twitter.com/ZonaCien","@ZonaCien")</f>
        <v>@ZonaCien</v>
      </c>
      <c r="C1075" s="8" t="s">
        <v>4338</v>
      </c>
      <c r="D1075" s="9" t="s">
        <v>4339</v>
      </c>
      <c r="E1075" s="10" t="str">
        <f>HYPERLINK("https://twitter.com/ZonaCien/status/1065783045075206149","1065783045075206149")</f>
        <v>1065783045075206149</v>
      </c>
      <c r="F1075" s="11" t="s">
        <v>4340</v>
      </c>
      <c r="G1075" s="12"/>
      <c r="H1075" s="12"/>
      <c r="I1075" s="13">
        <v>1</v>
      </c>
      <c r="J1075" s="13">
        <v>1</v>
      </c>
      <c r="K1075" s="14" t="str">
        <f>HYPERLINK("http://twitter.com","Twitter Web Client")</f>
        <v>Twitter Web Client</v>
      </c>
      <c r="L1075" s="13">
        <v>1695</v>
      </c>
      <c r="M1075" s="13">
        <v>2987</v>
      </c>
      <c r="N1075" s="13">
        <v>2</v>
      </c>
      <c r="O1075" s="15"/>
      <c r="P1075" s="6">
        <v>43058.402407407411</v>
      </c>
      <c r="Q1075" s="17" t="s">
        <v>28</v>
      </c>
      <c r="R1075" s="18" t="s">
        <v>4341</v>
      </c>
      <c r="S1075" s="12"/>
      <c r="T1075" s="12"/>
      <c r="U1075" s="10" t="str">
        <f>HYPERLINK("https://pbs.twimg.com/profile_images/985497456321400832/5k-ut29k.jpg","View")</f>
        <v>View</v>
      </c>
    </row>
    <row r="1076" spans="1:21" ht="112.2">
      <c r="A1076" s="6">
        <v>43427.112696759257</v>
      </c>
      <c r="B1076" s="7" t="str">
        <f>HYPERLINK("https://twitter.com/PepitaMenaMart1","@PepitaMenaMart1")</f>
        <v>@PepitaMenaMart1</v>
      </c>
      <c r="C1076" s="8" t="s">
        <v>4171</v>
      </c>
      <c r="D1076" s="9" t="s">
        <v>4342</v>
      </c>
      <c r="E1076" s="10" t="str">
        <f>HYPERLINK("https://twitter.com/PepitaMenaMart1/status/1065782556753309697","1065782556753309697")</f>
        <v>1065782556753309697</v>
      </c>
      <c r="F1076" s="11" t="s">
        <v>4343</v>
      </c>
      <c r="G1076" s="11" t="s">
        <v>4344</v>
      </c>
      <c r="H1076" s="12"/>
      <c r="I1076" s="13">
        <v>0</v>
      </c>
      <c r="J1076" s="13">
        <v>0</v>
      </c>
      <c r="K1076" s="14" t="str">
        <f>HYPERLINK("http://twitter.com/download/android","Twitter for Android")</f>
        <v>Twitter for Android</v>
      </c>
      <c r="L1076" s="13">
        <v>408</v>
      </c>
      <c r="M1076" s="13">
        <v>334</v>
      </c>
      <c r="N1076" s="13">
        <v>1</v>
      </c>
      <c r="O1076" s="15"/>
      <c r="P1076" s="6">
        <v>43124.888506944444</v>
      </c>
      <c r="Q1076" s="17" t="s">
        <v>4175</v>
      </c>
      <c r="R1076" s="18" t="s">
        <v>4176</v>
      </c>
      <c r="S1076" s="12"/>
      <c r="T1076" s="12"/>
      <c r="U1076" s="10" t="str">
        <f>HYPERLINK("https://pbs.twimg.com/profile_images/1053410905311064064/xChXdA8v.jpg","View")</f>
        <v>View</v>
      </c>
    </row>
    <row r="1077" spans="1:21" ht="40.799999999999997">
      <c r="A1077" s="6">
        <v>43427.112361111111</v>
      </c>
      <c r="B1077" s="7" t="str">
        <f>HYPERLINK("https://twitter.com/Gustavobequer","@Gustavobequer")</f>
        <v>@Gustavobequer</v>
      </c>
      <c r="C1077" s="8" t="s">
        <v>4345</v>
      </c>
      <c r="D1077" s="9" t="s">
        <v>4346</v>
      </c>
      <c r="E1077" s="10" t="str">
        <f>HYPERLINK("https://twitter.com/Gustavobequer/status/1065782433507876866","1065782433507876866")</f>
        <v>1065782433507876866</v>
      </c>
      <c r="F1077" s="12"/>
      <c r="G1077" s="12"/>
      <c r="H1077" s="12"/>
      <c r="I1077" s="13">
        <v>1</v>
      </c>
      <c r="J1077" s="13">
        <v>0</v>
      </c>
      <c r="K1077" s="14" t="str">
        <f>HYPERLINK("https://mobile.twitter.com","Mobile Web (M2)")</f>
        <v>Mobile Web (M2)</v>
      </c>
      <c r="L1077" s="13">
        <v>61</v>
      </c>
      <c r="M1077" s="13">
        <v>148</v>
      </c>
      <c r="N1077" s="13">
        <v>0</v>
      </c>
      <c r="O1077" s="15"/>
      <c r="P1077" s="6">
        <v>40750.703645833331</v>
      </c>
      <c r="Q1077" s="17" t="s">
        <v>1282</v>
      </c>
      <c r="R1077" s="18" t="s">
        <v>4347</v>
      </c>
      <c r="S1077" s="12"/>
      <c r="T1077" s="12"/>
      <c r="U1077" s="10" t="str">
        <f>HYPERLINK("https://pbs.twimg.com/profile_images/1462000119/gustavo_Bequer.jpg","View")</f>
        <v>View</v>
      </c>
    </row>
    <row r="1078" spans="1:21" ht="20.399999999999999">
      <c r="A1078" s="6">
        <v>43427.111307870371</v>
      </c>
      <c r="B1078" s="7" t="str">
        <f>HYPERLINK("https://twitter.com/renovacibalear","@renovacibalear")</f>
        <v>@renovacibalear</v>
      </c>
      <c r="C1078" s="8" t="s">
        <v>4348</v>
      </c>
      <c r="D1078" s="9" t="s">
        <v>4349</v>
      </c>
      <c r="E1078" s="10" t="str">
        <f>HYPERLINK("https://twitter.com/renovacibalear/status/1065782052417605632","1065782052417605632")</f>
        <v>1065782052417605632</v>
      </c>
      <c r="F1078" s="11" t="s">
        <v>4350</v>
      </c>
      <c r="G1078" s="12"/>
      <c r="H1078" s="12"/>
      <c r="I1078" s="13">
        <v>2</v>
      </c>
      <c r="J1078" s="13">
        <v>0</v>
      </c>
      <c r="K1078" s="14" t="str">
        <f>HYPERLINK("http://twitter.com","Twitter Web Client")</f>
        <v>Twitter Web Client</v>
      </c>
      <c r="L1078" s="13">
        <v>1208</v>
      </c>
      <c r="M1078" s="13">
        <v>488</v>
      </c>
      <c r="N1078" s="13">
        <v>33</v>
      </c>
      <c r="O1078" s="15"/>
      <c r="P1078" s="6">
        <v>41183.066759259258</v>
      </c>
      <c r="Q1078" s="17" t="s">
        <v>4351</v>
      </c>
      <c r="R1078" s="18" t="s">
        <v>4352</v>
      </c>
      <c r="S1078" s="11" t="s">
        <v>4353</v>
      </c>
      <c r="T1078" s="12"/>
      <c r="U1078" s="10" t="str">
        <f>HYPERLINK("https://pbs.twimg.com/profile_images/378800000198650014/d8db630510db37ac0f3a5d85bc33edd7.png","View")</f>
        <v>View</v>
      </c>
    </row>
    <row r="1079" spans="1:21" ht="30.6">
      <c r="A1079" s="6">
        <v>43427.111145833333</v>
      </c>
      <c r="B1079" s="7" t="str">
        <f>HYPERLINK("https://twitter.com/JornadaSanLuis","@JornadaSanLuis")</f>
        <v>@JornadaSanLuis</v>
      </c>
      <c r="C1079" s="8" t="s">
        <v>4354</v>
      </c>
      <c r="D1079" s="9" t="s">
        <v>4355</v>
      </c>
      <c r="E1079" s="10" t="str">
        <f>HYPERLINK("https://twitter.com/JornadaSanLuis/status/1065781995232526336","1065781995232526336")</f>
        <v>1065781995232526336</v>
      </c>
      <c r="F1079" s="11" t="s">
        <v>4356</v>
      </c>
      <c r="G1079" s="11" t="s">
        <v>4357</v>
      </c>
      <c r="H1079" s="12"/>
      <c r="I1079" s="13">
        <v>0</v>
      </c>
      <c r="J1079" s="13">
        <v>0</v>
      </c>
      <c r="K1079" s="14" t="str">
        <f>HYPERLINK("https://www.hootsuite.com","Hootsuite Inc.")</f>
        <v>Hootsuite Inc.</v>
      </c>
      <c r="L1079" s="13">
        <v>7517</v>
      </c>
      <c r="M1079" s="13">
        <v>1706</v>
      </c>
      <c r="N1079" s="13">
        <v>110</v>
      </c>
      <c r="O1079" s="15"/>
      <c r="P1079" s="6">
        <v>41702.805231481485</v>
      </c>
      <c r="Q1079" s="12"/>
      <c r="R1079" s="18" t="s">
        <v>4358</v>
      </c>
      <c r="S1079" s="11" t="s">
        <v>4359</v>
      </c>
      <c r="T1079" s="12"/>
      <c r="U1079" s="10" t="str">
        <f>HYPERLINK("https://pbs.twimg.com/profile_images/1064962626831101952/dtJ4Los4.jpg","View")</f>
        <v>View</v>
      </c>
    </row>
    <row r="1080" spans="1:21" ht="40.799999999999997">
      <c r="A1080" s="6">
        <v>43427.108680555553</v>
      </c>
      <c r="B1080" s="7" t="str">
        <f>HYPERLINK("https://twitter.com/AuroraFdez19","@AuroraFdez19")</f>
        <v>@AuroraFdez19</v>
      </c>
      <c r="C1080" s="8" t="s">
        <v>4360</v>
      </c>
      <c r="D1080" s="9" t="s">
        <v>4361</v>
      </c>
      <c r="E1080" s="10" t="str">
        <f>HYPERLINK("https://twitter.com/AuroraFdez19/status/1065781099777921024","1065781099777921024")</f>
        <v>1065781099777921024</v>
      </c>
      <c r="F1080" s="11" t="s">
        <v>4362</v>
      </c>
      <c r="G1080" s="12"/>
      <c r="H1080" s="12"/>
      <c r="I1080" s="13">
        <v>7</v>
      </c>
      <c r="J1080" s="13">
        <v>9</v>
      </c>
      <c r="K1080" s="14" t="str">
        <f t="shared" ref="K1080:K1082" si="187">HYPERLINK("http://twitter.com/download/android","Twitter for Android")</f>
        <v>Twitter for Android</v>
      </c>
      <c r="L1080" s="13">
        <v>1604</v>
      </c>
      <c r="M1080" s="13">
        <v>940</v>
      </c>
      <c r="N1080" s="13">
        <v>10</v>
      </c>
      <c r="O1080" s="15"/>
      <c r="P1080" s="6">
        <v>42470.942870370374</v>
      </c>
      <c r="Q1080" s="12"/>
      <c r="R1080" s="18" t="s">
        <v>4363</v>
      </c>
      <c r="S1080" s="12"/>
      <c r="T1080" s="12"/>
      <c r="U1080" s="10" t="str">
        <f>HYPERLINK("https://pbs.twimg.com/profile_images/1036598879066771456/wBsFJVET.jpg","View")</f>
        <v>View</v>
      </c>
    </row>
    <row r="1081" spans="1:21" ht="40.799999999999997">
      <c r="A1081" s="6">
        <v>43427.108553240745</v>
      </c>
      <c r="B1081" s="7" t="str">
        <f t="shared" ref="B1081:B1082" si="188">HYPERLINK("https://twitter.com/Adannae","@Adannae")</f>
        <v>@Adannae</v>
      </c>
      <c r="C1081" s="8" t="s">
        <v>4364</v>
      </c>
      <c r="D1081" s="9" t="s">
        <v>4365</v>
      </c>
      <c r="E1081" s="10" t="str">
        <f>HYPERLINK("https://twitter.com/Adannae/status/1065781057138712576","1065781057138712576")</f>
        <v>1065781057138712576</v>
      </c>
      <c r="F1081" s="12"/>
      <c r="G1081" s="12"/>
      <c r="H1081" s="12"/>
      <c r="I1081" s="13">
        <v>1</v>
      </c>
      <c r="J1081" s="13">
        <v>5</v>
      </c>
      <c r="K1081" s="14" t="str">
        <f t="shared" si="187"/>
        <v>Twitter for Android</v>
      </c>
      <c r="L1081" s="13">
        <v>3002</v>
      </c>
      <c r="M1081" s="13">
        <v>2560</v>
      </c>
      <c r="N1081" s="13">
        <v>29</v>
      </c>
      <c r="O1081" s="15"/>
      <c r="P1081" s="6">
        <v>40160.556307870371</v>
      </c>
      <c r="Q1081" s="17" t="s">
        <v>28</v>
      </c>
      <c r="R1081" s="18" t="s">
        <v>4366</v>
      </c>
      <c r="S1081" s="11" t="s">
        <v>4367</v>
      </c>
      <c r="T1081" s="12"/>
      <c r="U1081" s="10" t="str">
        <f t="shared" ref="U1081:U1082" si="189">HYPERLINK("https://pbs.twimg.com/profile_images/1060232822420656129/69l9JhJ7.jpg","View")</f>
        <v>View</v>
      </c>
    </row>
    <row r="1082" spans="1:21" ht="40.799999999999997">
      <c r="A1082" s="6">
        <v>43427.107581018514</v>
      </c>
      <c r="B1082" s="7" t="str">
        <f t="shared" si="188"/>
        <v>@Adannae</v>
      </c>
      <c r="C1082" s="8" t="s">
        <v>4364</v>
      </c>
      <c r="D1082" s="9" t="s">
        <v>4368</v>
      </c>
      <c r="E1082" s="10" t="str">
        <f>HYPERLINK("https://twitter.com/Adannae/status/1065780701415596032","1065780701415596032")</f>
        <v>1065780701415596032</v>
      </c>
      <c r="F1082" s="12"/>
      <c r="G1082" s="11" t="s">
        <v>4369</v>
      </c>
      <c r="H1082" s="12"/>
      <c r="I1082" s="13">
        <v>0</v>
      </c>
      <c r="J1082" s="13">
        <v>2</v>
      </c>
      <c r="K1082" s="14" t="str">
        <f t="shared" si="187"/>
        <v>Twitter for Android</v>
      </c>
      <c r="L1082" s="13">
        <v>3002</v>
      </c>
      <c r="M1082" s="13">
        <v>2560</v>
      </c>
      <c r="N1082" s="13">
        <v>29</v>
      </c>
      <c r="O1082" s="15"/>
      <c r="P1082" s="6">
        <v>40160.556307870371</v>
      </c>
      <c r="Q1082" s="17" t="s">
        <v>28</v>
      </c>
      <c r="R1082" s="18" t="s">
        <v>4366</v>
      </c>
      <c r="S1082" s="11" t="s">
        <v>4367</v>
      </c>
      <c r="T1082" s="12"/>
      <c r="U1082" s="10" t="str">
        <f t="shared" si="189"/>
        <v>View</v>
      </c>
    </row>
    <row r="1083" spans="1:21" ht="40.799999999999997">
      <c r="A1083" s="6">
        <v>43427.105879629627</v>
      </c>
      <c r="B1083" s="7" t="str">
        <f>HYPERLINK("https://twitter.com/VencedorMRT","@VencedorMRT")</f>
        <v>@VencedorMRT</v>
      </c>
      <c r="C1083" s="8" t="s">
        <v>4370</v>
      </c>
      <c r="D1083" s="9" t="s">
        <v>4371</v>
      </c>
      <c r="E1083" s="10" t="str">
        <f>HYPERLINK("https://twitter.com/VencedorMRT/status/1065780086945783808","1065780086945783808")</f>
        <v>1065780086945783808</v>
      </c>
      <c r="F1083" s="11" t="s">
        <v>2572</v>
      </c>
      <c r="G1083" s="12"/>
      <c r="H1083" s="12"/>
      <c r="I1083" s="13">
        <v>2</v>
      </c>
      <c r="J1083" s="13">
        <v>0</v>
      </c>
      <c r="K1083" s="14" t="str">
        <f>HYPERLINK("http://twitter.com","Twitter Web Client")</f>
        <v>Twitter Web Client</v>
      </c>
      <c r="L1083" s="13">
        <v>4778</v>
      </c>
      <c r="M1083" s="13">
        <v>4646</v>
      </c>
      <c r="N1083" s="13">
        <v>31</v>
      </c>
      <c r="O1083" s="15"/>
      <c r="P1083" s="6">
        <v>40296.991967592592</v>
      </c>
      <c r="Q1083" s="17" t="s">
        <v>4372</v>
      </c>
      <c r="R1083" s="18" t="s">
        <v>4373</v>
      </c>
      <c r="S1083" s="11" t="s">
        <v>4374</v>
      </c>
      <c r="T1083" s="12"/>
      <c r="U1083" s="10" t="str">
        <f>HYPERLINK("https://pbs.twimg.com/profile_images/1029079468202184705/g17GnPlT.jpg","View")</f>
        <v>View</v>
      </c>
    </row>
    <row r="1084" spans="1:21" ht="20.399999999999999">
      <c r="A1084" s="6">
        <v>43427.105856481481</v>
      </c>
      <c r="B1084" s="7" t="str">
        <f>HYPERLINK("https://twitter.com/lenrique64","@lenrique64")</f>
        <v>@lenrique64</v>
      </c>
      <c r="C1084" s="8" t="s">
        <v>1104</v>
      </c>
      <c r="D1084" s="9" t="s">
        <v>1108</v>
      </c>
      <c r="E1084" s="10" t="str">
        <f>HYPERLINK("https://twitter.com/lenrique64/status/1065780077152165889","1065780077152165889")</f>
        <v>1065780077152165889</v>
      </c>
      <c r="F1084" s="11" t="s">
        <v>4375</v>
      </c>
      <c r="G1084" s="12"/>
      <c r="H1084" s="12"/>
      <c r="I1084" s="13">
        <v>0</v>
      </c>
      <c r="J1084" s="13">
        <v>0</v>
      </c>
      <c r="K1084" s="14" t="str">
        <f t="shared" ref="K1084:K1085" si="190">HYPERLINK("http://www.facebook.com/twitter","Facebook")</f>
        <v>Facebook</v>
      </c>
      <c r="L1084" s="13">
        <v>203</v>
      </c>
      <c r="M1084" s="13">
        <v>270</v>
      </c>
      <c r="N1084" s="13">
        <v>13</v>
      </c>
      <c r="O1084" s="15"/>
      <c r="P1084" s="6">
        <v>40340.710335648146</v>
      </c>
      <c r="Q1084" s="12"/>
      <c r="R1084" s="19"/>
      <c r="S1084" s="12"/>
      <c r="T1084" s="12"/>
      <c r="U1084" s="10" t="str">
        <f>HYPERLINK("https://pbs.twimg.com/profile_images/811222160723222530/E1Y49Rvi.jpg","View")</f>
        <v>View</v>
      </c>
    </row>
    <row r="1085" spans="1:21" ht="20.399999999999999">
      <c r="A1085" s="6">
        <v>43427.104722222226</v>
      </c>
      <c r="B1085" s="7" t="str">
        <f>HYPERLINK("https://twitter.com/JovenClubCuba","@JovenClubCuba")</f>
        <v>@JovenClubCuba</v>
      </c>
      <c r="C1085" s="8" t="s">
        <v>4376</v>
      </c>
      <c r="D1085" s="9" t="s">
        <v>4377</v>
      </c>
      <c r="E1085" s="10" t="str">
        <f>HYPERLINK("https://twitter.com/JovenClubCuba/status/1065779668547235840","1065779668547235840")</f>
        <v>1065779668547235840</v>
      </c>
      <c r="F1085" s="11" t="s">
        <v>4378</v>
      </c>
      <c r="G1085" s="12"/>
      <c r="H1085" s="12"/>
      <c r="I1085" s="13">
        <v>1</v>
      </c>
      <c r="J1085" s="13">
        <v>0</v>
      </c>
      <c r="K1085" s="14" t="str">
        <f t="shared" si="190"/>
        <v>Facebook</v>
      </c>
      <c r="L1085" s="13">
        <v>1359</v>
      </c>
      <c r="M1085" s="13">
        <v>145</v>
      </c>
      <c r="N1085" s="13">
        <v>11</v>
      </c>
      <c r="O1085" s="15"/>
      <c r="P1085" s="6">
        <v>41824.816875000004</v>
      </c>
      <c r="Q1085" s="12"/>
      <c r="R1085" s="19"/>
      <c r="S1085" s="12"/>
      <c r="T1085" s="12"/>
      <c r="U1085" s="10" t="str">
        <f>HYPERLINK("https://pbs.twimg.com/profile_images/1057303753018224640/OQblG072.jpg","View")</f>
        <v>View</v>
      </c>
    </row>
    <row r="1086" spans="1:21" ht="40.799999999999997">
      <c r="A1086" s="6">
        <v>43427.104166666672</v>
      </c>
      <c r="B1086" s="7" t="str">
        <f>HYPERLINK("https://twitter.com/trabajadorescu","@trabajadorescu")</f>
        <v>@trabajadorescu</v>
      </c>
      <c r="C1086" s="20" t="s">
        <v>1203</v>
      </c>
      <c r="D1086" s="9" t="s">
        <v>4379</v>
      </c>
      <c r="E1086" s="10" t="str">
        <f>HYPERLINK("https://twitter.com/trabajadorescu/status/1065779465068994560","1065779465068994560")</f>
        <v>1065779465068994560</v>
      </c>
      <c r="F1086" s="12"/>
      <c r="G1086" s="11" t="s">
        <v>4380</v>
      </c>
      <c r="H1086" s="12"/>
      <c r="I1086" s="13">
        <v>0</v>
      </c>
      <c r="J1086" s="13">
        <v>0</v>
      </c>
      <c r="K1086" s="14" t="str">
        <f>HYPERLINK("https://about.twitter.com/products/tweetdeck","TweetDeck")</f>
        <v>TweetDeck</v>
      </c>
      <c r="L1086" s="13">
        <v>9838</v>
      </c>
      <c r="M1086" s="13">
        <v>272</v>
      </c>
      <c r="N1086" s="13">
        <v>151</v>
      </c>
      <c r="O1086" s="15"/>
      <c r="P1086" s="6">
        <v>40304.712233796294</v>
      </c>
      <c r="Q1086" s="17" t="s">
        <v>52</v>
      </c>
      <c r="R1086" s="18" t="s">
        <v>1206</v>
      </c>
      <c r="S1086" s="11" t="s">
        <v>1207</v>
      </c>
      <c r="T1086" s="12"/>
      <c r="U1086" s="10" t="str">
        <f>HYPERLINK("https://pbs.twimg.com/profile_images/986694080213037056/J0pt8JjI.jpg","View")</f>
        <v>View</v>
      </c>
    </row>
    <row r="1087" spans="1:21" ht="30.6">
      <c r="A1087" s="6">
        <v>43427.103935185187</v>
      </c>
      <c r="B1087" s="7" t="str">
        <f>HYPERLINK("https://twitter.com/periodicovzlano","@periodicovzlano")</f>
        <v>@periodicovzlano</v>
      </c>
      <c r="C1087" s="8" t="s">
        <v>97</v>
      </c>
      <c r="D1087" s="9" t="s">
        <v>98</v>
      </c>
      <c r="E1087" s="10" t="str">
        <f>HYPERLINK("https://twitter.com/periodicovzlano/status/1065779383686836230","1065779383686836230")</f>
        <v>1065779383686836230</v>
      </c>
      <c r="F1087" s="11" t="s">
        <v>99</v>
      </c>
      <c r="G1087" s="11" t="s">
        <v>4381</v>
      </c>
      <c r="H1087" s="12"/>
      <c r="I1087" s="13">
        <v>0</v>
      </c>
      <c r="J1087" s="13">
        <v>0</v>
      </c>
      <c r="K1087" s="14" t="str">
        <f>HYPERLINK("http://epmundo.com","Tuiteo TOP EP (1)")</f>
        <v>Tuiteo TOP EP (1)</v>
      </c>
      <c r="L1087" s="13">
        <v>479592</v>
      </c>
      <c r="M1087" s="13">
        <v>359153</v>
      </c>
      <c r="N1087" s="13">
        <v>1296</v>
      </c>
      <c r="O1087" s="15"/>
      <c r="P1087" s="6">
        <v>40663.3512962963</v>
      </c>
      <c r="Q1087" s="17" t="s">
        <v>104</v>
      </c>
      <c r="R1087" s="18" t="s">
        <v>105</v>
      </c>
      <c r="S1087" s="11" t="s">
        <v>106</v>
      </c>
      <c r="T1087" s="12"/>
      <c r="U1087" s="10" t="str">
        <f>HYPERLINK("https://pbs.twimg.com/profile_images/958328579250638849/MCz7Q8U6.jpg","View")</f>
        <v>View</v>
      </c>
    </row>
    <row r="1088" spans="1:21" ht="20.399999999999999">
      <c r="A1088" s="6">
        <v>43427.101944444439</v>
      </c>
      <c r="B1088" s="7" t="str">
        <f>HYPERLINK("https://twitter.com/NoticiasVenezue","@NoticiasVenezue")</f>
        <v>@NoticiasVenezue</v>
      </c>
      <c r="C1088" s="8" t="s">
        <v>4070</v>
      </c>
      <c r="D1088" s="9" t="s">
        <v>1334</v>
      </c>
      <c r="E1088" s="10" t="str">
        <f>HYPERLINK("https://twitter.com/NoticiasVenezue/status/1065778661251563520","1065778661251563520")</f>
        <v>1065778661251563520</v>
      </c>
      <c r="F1088" s="11" t="s">
        <v>4382</v>
      </c>
      <c r="G1088" s="11" t="s">
        <v>4383</v>
      </c>
      <c r="H1088" s="12"/>
      <c r="I1088" s="13">
        <v>1</v>
      </c>
      <c r="J1088" s="13">
        <v>0</v>
      </c>
      <c r="K1088" s="14" t="str">
        <f>HYPERLINK("http://noticiasvenezuela.org/","Noticiasvenezuela.org")</f>
        <v>Noticiasvenezuela.org</v>
      </c>
      <c r="L1088" s="13">
        <v>847998</v>
      </c>
      <c r="M1088" s="13">
        <v>107736</v>
      </c>
      <c r="N1088" s="13">
        <v>4005</v>
      </c>
      <c r="O1088" s="16" t="s">
        <v>26</v>
      </c>
      <c r="P1088" s="6">
        <v>39960.368576388893</v>
      </c>
      <c r="Q1088" s="17" t="s">
        <v>383</v>
      </c>
      <c r="R1088" s="18" t="s">
        <v>4073</v>
      </c>
      <c r="S1088" s="11" t="s">
        <v>4074</v>
      </c>
      <c r="T1088" s="12"/>
      <c r="U1088" s="10" t="str">
        <f>HYPERLINK("https://pbs.twimg.com/profile_images/1051102549061849088/xDOWgbtI.jpg","View")</f>
        <v>View</v>
      </c>
    </row>
    <row r="1089" spans="1:21" ht="20.399999999999999">
      <c r="A1089" s="6">
        <v>43427.101458333331</v>
      </c>
      <c r="B1089" s="7" t="str">
        <f>HYPERLINK("https://twitter.com/AlienteleSUR","@AlienteleSUR")</f>
        <v>@AlienteleSUR</v>
      </c>
      <c r="C1089" s="8" t="s">
        <v>3943</v>
      </c>
      <c r="D1089" s="9" t="s">
        <v>4384</v>
      </c>
      <c r="E1089" s="10" t="str">
        <f>HYPERLINK("https://twitter.com/AlienteleSUR/status/1065778484881039360","1065778484881039360")</f>
        <v>1065778484881039360</v>
      </c>
      <c r="F1089" s="11" t="s">
        <v>4385</v>
      </c>
      <c r="G1089" s="12"/>
      <c r="H1089" s="12"/>
      <c r="I1089" s="13">
        <v>6</v>
      </c>
      <c r="J1089" s="13">
        <v>7</v>
      </c>
      <c r="K1089" s="14" t="str">
        <f>HYPERLINK("http://multimedia.telesurtv.net","Multimedia teleSUR")</f>
        <v>Multimedia teleSUR</v>
      </c>
      <c r="L1089" s="13">
        <v>695</v>
      </c>
      <c r="M1089" s="13">
        <v>174</v>
      </c>
      <c r="N1089" s="13">
        <v>5</v>
      </c>
      <c r="O1089" s="15"/>
      <c r="P1089" s="6">
        <v>41859.16547453704</v>
      </c>
      <c r="Q1089" s="17" t="s">
        <v>40</v>
      </c>
      <c r="R1089" s="19"/>
      <c r="S1089" s="12"/>
      <c r="T1089" s="12"/>
      <c r="U1089" s="10" t="str">
        <f>HYPERLINK("https://pbs.twimg.com/profile_images/1056549220155617280/ow5-9Oik.jpg","View")</f>
        <v>View</v>
      </c>
    </row>
    <row r="1090" spans="1:21" ht="40.799999999999997">
      <c r="A1090" s="6">
        <v>43427.101076388892</v>
      </c>
      <c r="B1090" s="7" t="str">
        <f>HYPERLINK("https://twitter.com/pilar_balado","@pilar_balado")</f>
        <v>@pilar_balado</v>
      </c>
      <c r="C1090" s="8" t="s">
        <v>4386</v>
      </c>
      <c r="D1090" s="9" t="s">
        <v>4387</v>
      </c>
      <c r="E1090" s="10" t="str">
        <f>HYPERLINK("https://twitter.com/pilar_balado/status/1065778346976600064","1065778346976600064")</f>
        <v>1065778346976600064</v>
      </c>
      <c r="F1090" s="11" t="s">
        <v>4388</v>
      </c>
      <c r="G1090" s="12"/>
      <c r="H1090" s="12"/>
      <c r="I1090" s="13">
        <v>0</v>
      </c>
      <c r="J1090" s="13">
        <v>0</v>
      </c>
      <c r="K1090" s="14" t="str">
        <f>HYPERLINK("http://twitter.com/download/android","Twitter for Android")</f>
        <v>Twitter for Android</v>
      </c>
      <c r="L1090" s="13">
        <v>1399</v>
      </c>
      <c r="M1090" s="13">
        <v>1016</v>
      </c>
      <c r="N1090" s="13">
        <v>186</v>
      </c>
      <c r="O1090" s="15"/>
      <c r="P1090" s="6">
        <v>41866.857129629629</v>
      </c>
      <c r="Q1090" s="12"/>
      <c r="R1090" s="18" t="s">
        <v>4389</v>
      </c>
      <c r="S1090" s="12"/>
      <c r="T1090" s="12"/>
      <c r="U1090" s="10" t="str">
        <f>HYPERLINK("https://pbs.twimg.com/profile_images/539512876017664000/3akyRwTo.jpeg","View")</f>
        <v>View</v>
      </c>
    </row>
    <row r="1091" spans="1:21" ht="20.399999999999999">
      <c r="A1091" s="6">
        <v>43427.099988425922</v>
      </c>
      <c r="B1091" s="7" t="str">
        <f>HYPERLINK("https://twitter.com/Moncloa","@Moncloa")</f>
        <v>@Moncloa</v>
      </c>
      <c r="C1091" s="8" t="s">
        <v>1487</v>
      </c>
      <c r="D1091" s="9" t="s">
        <v>4390</v>
      </c>
      <c r="E1091" s="10" t="str">
        <f>HYPERLINK("https://twitter.com/Moncloa/status/1065777952783183872","1065777952783183872")</f>
        <v>1065777952783183872</v>
      </c>
      <c r="F1091" s="11" t="s">
        <v>4391</v>
      </c>
      <c r="G1091" s="12"/>
      <c r="H1091" s="12"/>
      <c r="I1091" s="13">
        <v>0</v>
      </c>
      <c r="J1091" s="13">
        <v>0</v>
      </c>
      <c r="K1091" s="14" t="str">
        <f>HYPERLINK("http://www.gkopu.com/books","MicroContent")</f>
        <v>MicroContent</v>
      </c>
      <c r="L1091" s="13">
        <v>9324</v>
      </c>
      <c r="M1091" s="13">
        <v>1</v>
      </c>
      <c r="N1091" s="13">
        <v>42</v>
      </c>
      <c r="O1091" s="15"/>
      <c r="P1091" s="6">
        <v>40723.496319444443</v>
      </c>
      <c r="Q1091" s="17" t="s">
        <v>28</v>
      </c>
      <c r="R1091" s="18" t="s">
        <v>1490</v>
      </c>
      <c r="S1091" s="12"/>
      <c r="T1091" s="12"/>
      <c r="U1091" s="10" t="str">
        <f>HYPERLINK("https://pbs.twimg.com/profile_images/2272310074/v0xjmozqhpv90d675qs9.jpeg","View")</f>
        <v>View</v>
      </c>
    </row>
    <row r="1092" spans="1:21" ht="20.399999999999999">
      <c r="A1092" s="6">
        <v>43427.098344907412</v>
      </c>
      <c r="B1092" s="7" t="str">
        <f>HYPERLINK("https://twitter.com/teleSUR_Cuba","@teleSUR_Cuba")</f>
        <v>@teleSUR_Cuba</v>
      </c>
      <c r="C1092" s="8" t="s">
        <v>3961</v>
      </c>
      <c r="D1092" s="9" t="s">
        <v>4384</v>
      </c>
      <c r="E1092" s="10" t="str">
        <f>HYPERLINK("https://twitter.com/teleSUR_Cuba/status/1065777357565411329","1065777357565411329")</f>
        <v>1065777357565411329</v>
      </c>
      <c r="F1092" s="11" t="s">
        <v>4385</v>
      </c>
      <c r="G1092" s="12"/>
      <c r="H1092" s="12"/>
      <c r="I1092" s="13">
        <v>2</v>
      </c>
      <c r="J1092" s="13">
        <v>1</v>
      </c>
      <c r="K1092" s="14" t="str">
        <f>HYPERLINK("http://multimedia.telesurtv.net","Multimedia teleSUR")</f>
        <v>Multimedia teleSUR</v>
      </c>
      <c r="L1092" s="13">
        <v>16686</v>
      </c>
      <c r="M1092" s="13">
        <v>54</v>
      </c>
      <c r="N1092" s="13">
        <v>152</v>
      </c>
      <c r="O1092" s="15"/>
      <c r="P1092" s="6">
        <v>40578.687673611115</v>
      </c>
      <c r="Q1092" s="17" t="s">
        <v>475</v>
      </c>
      <c r="R1092" s="18" t="s">
        <v>3962</v>
      </c>
      <c r="S1092" s="11" t="s">
        <v>1700</v>
      </c>
      <c r="T1092" s="12"/>
      <c r="U1092" s="10" t="str">
        <f>HYPERLINK("https://pbs.twimg.com/profile_images/378800000735274021/2e9d9b9303bd8f5c5d4c8f3c847e393f.jpeg","View")</f>
        <v>View</v>
      </c>
    </row>
    <row r="1093" spans="1:21" ht="102">
      <c r="A1093" s="6">
        <v>43427.097812499997</v>
      </c>
      <c r="B1093" s="7" t="str">
        <f>HYPERLINK("https://twitter.com/vinalopodigital","@vinalopodigital")</f>
        <v>@vinalopodigital</v>
      </c>
      <c r="C1093" s="8" t="s">
        <v>4392</v>
      </c>
      <c r="D1093" s="9" t="s">
        <v>4393</v>
      </c>
      <c r="E1093" s="10" t="str">
        <f>HYPERLINK("https://twitter.com/vinalopodigital/status/1065777164866457600","1065777164866457600")</f>
        <v>1065777164866457600</v>
      </c>
      <c r="F1093" s="11" t="s">
        <v>4394</v>
      </c>
      <c r="G1093" s="12"/>
      <c r="H1093" s="12"/>
      <c r="I1093" s="13">
        <v>0</v>
      </c>
      <c r="J1093" s="13">
        <v>0</v>
      </c>
      <c r="K1093" s="14" t="str">
        <f>HYPERLINK("http://www.facebook.com/twitter","Facebook")</f>
        <v>Facebook</v>
      </c>
      <c r="L1093" s="13">
        <v>342</v>
      </c>
      <c r="M1093" s="13">
        <v>1064</v>
      </c>
      <c r="N1093" s="13">
        <v>10</v>
      </c>
      <c r="O1093" s="15"/>
      <c r="P1093" s="6">
        <v>39985.399305555555</v>
      </c>
      <c r="Q1093" s="17" t="s">
        <v>4395</v>
      </c>
      <c r="R1093" s="18" t="s">
        <v>4396</v>
      </c>
      <c r="S1093" s="11" t="s">
        <v>4397</v>
      </c>
      <c r="T1093" s="12"/>
      <c r="U1093" s="10" t="str">
        <f>HYPERLINK("https://pbs.twimg.com/profile_images/952997621819375618/6b4YhObB.jpg","View")</f>
        <v>View</v>
      </c>
    </row>
    <row r="1094" spans="1:21" ht="40.799999999999997">
      <c r="A1094" s="6">
        <v>43427.097349537042</v>
      </c>
      <c r="B1094" s="7" t="str">
        <f>HYPERLINK("https://twitter.com/lauralop2002es1","@lauralop2002es1")</f>
        <v>@lauralop2002es1</v>
      </c>
      <c r="C1094" s="8" t="s">
        <v>4398</v>
      </c>
      <c r="D1094" s="9" t="s">
        <v>4399</v>
      </c>
      <c r="E1094" s="10" t="str">
        <f>HYPERLINK("https://twitter.com/lauralop2002es1/status/1065776994103803904","1065776994103803904")</f>
        <v>1065776994103803904</v>
      </c>
      <c r="F1094" s="12"/>
      <c r="G1094" s="11" t="s">
        <v>3846</v>
      </c>
      <c r="H1094" s="12"/>
      <c r="I1094" s="13">
        <v>51</v>
      </c>
      <c r="J1094" s="13">
        <v>76</v>
      </c>
      <c r="K1094" s="14" t="str">
        <f>HYPERLINK("http://twitter.com","Twitter Web Client")</f>
        <v>Twitter Web Client</v>
      </c>
      <c r="L1094" s="13">
        <v>940</v>
      </c>
      <c r="M1094" s="13">
        <v>717</v>
      </c>
      <c r="N1094" s="13">
        <v>5</v>
      </c>
      <c r="O1094" s="15"/>
      <c r="P1094" s="6">
        <v>40416.003599537034</v>
      </c>
      <c r="Q1094" s="17" t="s">
        <v>1282</v>
      </c>
      <c r="R1094" s="18" t="s">
        <v>4400</v>
      </c>
      <c r="S1094" s="12"/>
      <c r="T1094" s="12"/>
      <c r="U1094" s="10" t="str">
        <f>HYPERLINK("https://pbs.twimg.com/profile_images/1026517248930799617/-0f8DpWD.jpg","View")</f>
        <v>View</v>
      </c>
    </row>
    <row r="1095" spans="1:21" ht="40.799999999999997">
      <c r="A1095" s="6">
        <v>43427.097222222219</v>
      </c>
      <c r="B1095" s="7" t="str">
        <f>HYPERLINK("https://twitter.com/SputnikMundo","@SputnikMundo")</f>
        <v>@SputnikMundo</v>
      </c>
      <c r="C1095" s="8" t="s">
        <v>4114</v>
      </c>
      <c r="D1095" s="9" t="s">
        <v>4401</v>
      </c>
      <c r="E1095" s="10" t="str">
        <f>HYPERLINK("https://twitter.com/SputnikMundo/status/1065776948348096513","1065776948348096513")</f>
        <v>1065776948348096513</v>
      </c>
      <c r="F1095" s="11" t="s">
        <v>4402</v>
      </c>
      <c r="G1095" s="12"/>
      <c r="H1095" s="12"/>
      <c r="I1095" s="13">
        <v>5</v>
      </c>
      <c r="J1095" s="13">
        <v>13</v>
      </c>
      <c r="K1095" s="14" t="str">
        <f>HYPERLINK("https://about.twitter.com/products/tweetdeck","TweetDeck")</f>
        <v>TweetDeck</v>
      </c>
      <c r="L1095" s="13">
        <v>62300</v>
      </c>
      <c r="M1095" s="13">
        <v>148</v>
      </c>
      <c r="N1095" s="13">
        <v>1382</v>
      </c>
      <c r="O1095" s="16" t="s">
        <v>26</v>
      </c>
      <c r="P1095" s="6">
        <v>40590.534212962964</v>
      </c>
      <c r="Q1095" s="17" t="s">
        <v>4115</v>
      </c>
      <c r="R1095" s="18" t="s">
        <v>4116</v>
      </c>
      <c r="S1095" s="11" t="s">
        <v>4117</v>
      </c>
      <c r="T1095" s="12"/>
      <c r="U1095" s="10" t="str">
        <f>HYPERLINK("https://pbs.twimg.com/profile_images/1001124018030866432/SDDNffA0.jpg","View")</f>
        <v>View</v>
      </c>
    </row>
    <row r="1096" spans="1:21" ht="30.6">
      <c r="A1096" s="6">
        <v>43427.097013888888</v>
      </c>
      <c r="B1096" s="7" t="str">
        <f>HYPERLINK("https://twitter.com/OnceNoticiasTV","@OnceNoticiasTV")</f>
        <v>@OnceNoticiasTV</v>
      </c>
      <c r="C1096" s="8" t="s">
        <v>3017</v>
      </c>
      <c r="D1096" s="9" t="s">
        <v>3018</v>
      </c>
      <c r="E1096" s="10" t="str">
        <f>HYPERLINK("https://twitter.com/OnceNoticiasTV/status/1065776875056898049","1065776875056898049")</f>
        <v>1065776875056898049</v>
      </c>
      <c r="F1096" s="11" t="s">
        <v>4403</v>
      </c>
      <c r="G1096" s="12"/>
      <c r="H1096" s="12"/>
      <c r="I1096" s="13">
        <v>0</v>
      </c>
      <c r="J1096" s="13">
        <v>3</v>
      </c>
      <c r="K1096" s="14" t="str">
        <f>HYPERLINK("http://twitter.com","Twitter Web Client")</f>
        <v>Twitter Web Client</v>
      </c>
      <c r="L1096" s="13">
        <v>66097</v>
      </c>
      <c r="M1096" s="13">
        <v>1000</v>
      </c>
      <c r="N1096" s="13">
        <v>733</v>
      </c>
      <c r="O1096" s="16" t="s">
        <v>26</v>
      </c>
      <c r="P1096" s="6">
        <v>41402.851990740739</v>
      </c>
      <c r="Q1096" s="17" t="s">
        <v>790</v>
      </c>
      <c r="R1096" s="18" t="s">
        <v>3020</v>
      </c>
      <c r="S1096" s="11" t="s">
        <v>3021</v>
      </c>
      <c r="T1096" s="12"/>
      <c r="U1096" s="10" t="str">
        <f>HYPERLINK("https://pbs.twimg.com/profile_images/1002269101539049472/Sby03xXF.jpg","View")</f>
        <v>View</v>
      </c>
    </row>
    <row r="1097" spans="1:21" ht="20.399999999999999">
      <c r="A1097" s="6">
        <v>43427.094965277778</v>
      </c>
      <c r="B1097" s="7" t="str">
        <f>HYPERLINK("https://twitter.com/etoledog","@etoledog")</f>
        <v>@etoledog</v>
      </c>
      <c r="C1097" s="8" t="s">
        <v>950</v>
      </c>
      <c r="D1097" s="9" t="s">
        <v>4404</v>
      </c>
      <c r="E1097" s="10" t="str">
        <f>HYPERLINK("https://twitter.com/etoledog/status/1065776129938784256","1065776129938784256")</f>
        <v>1065776129938784256</v>
      </c>
      <c r="F1097" s="11" t="s">
        <v>641</v>
      </c>
      <c r="G1097" s="12"/>
      <c r="H1097" s="12"/>
      <c r="I1097" s="13">
        <v>3</v>
      </c>
      <c r="J1097" s="13">
        <v>1</v>
      </c>
      <c r="K1097" s="14" t="str">
        <f>HYPERLINK("http://twitter.com/#!/download/ipad","Twitter for iPad")</f>
        <v>Twitter for iPad</v>
      </c>
      <c r="L1097" s="13">
        <v>21112</v>
      </c>
      <c r="M1097" s="13">
        <v>21089</v>
      </c>
      <c r="N1097" s="13">
        <v>53</v>
      </c>
      <c r="O1097" s="15"/>
      <c r="P1097" s="6">
        <v>40998.879571759258</v>
      </c>
      <c r="Q1097" s="17" t="s">
        <v>952</v>
      </c>
      <c r="R1097" s="18" t="s">
        <v>953</v>
      </c>
      <c r="S1097" s="12"/>
      <c r="T1097" s="12"/>
      <c r="U1097" s="10" t="str">
        <f>HYPERLINK("https://pbs.twimg.com/profile_images/813070980767776768/hRG0ZXYw.jpg","View")</f>
        <v>View</v>
      </c>
    </row>
    <row r="1098" spans="1:21" ht="40.799999999999997">
      <c r="A1098" s="6">
        <v>43427.094849537039</v>
      </c>
      <c r="B1098" s="7" t="str">
        <f>HYPERLINK("https://twitter.com/CarlosO28859673","@CarlosO28859673")</f>
        <v>@CarlosO28859673</v>
      </c>
      <c r="C1098" s="8" t="s">
        <v>4405</v>
      </c>
      <c r="D1098" s="9" t="s">
        <v>4406</v>
      </c>
      <c r="E1098" s="10" t="str">
        <f>HYPERLINK("https://twitter.com/CarlosO28859673/status/1065776088666841088","1065776088666841088")</f>
        <v>1065776088666841088</v>
      </c>
      <c r="F1098" s="11" t="s">
        <v>4158</v>
      </c>
      <c r="G1098" s="12"/>
      <c r="H1098" s="12"/>
      <c r="I1098" s="13">
        <v>0</v>
      </c>
      <c r="J1098" s="13">
        <v>0</v>
      </c>
      <c r="K1098" s="14" t="str">
        <f t="shared" ref="K1098:K1103" si="191">HYPERLINK("http://twitter.com","Twitter Web Client")</f>
        <v>Twitter Web Client</v>
      </c>
      <c r="L1098" s="13">
        <v>10536</v>
      </c>
      <c r="M1098" s="13">
        <v>10997</v>
      </c>
      <c r="N1098" s="13">
        <v>151</v>
      </c>
      <c r="O1098" s="15"/>
      <c r="P1098" s="6">
        <v>41613.8050462963</v>
      </c>
      <c r="Q1098" s="17" t="s">
        <v>4407</v>
      </c>
      <c r="R1098" s="18" t="s">
        <v>4408</v>
      </c>
      <c r="S1098" s="12"/>
      <c r="T1098" s="12"/>
      <c r="U1098" s="10" t="str">
        <f>HYPERLINK("https://pbs.twimg.com/profile_images/471981247875411968/ILiTjdcB.jpeg","View")</f>
        <v>View</v>
      </c>
    </row>
    <row r="1099" spans="1:21" ht="40.799999999999997">
      <c r="A1099" s="6">
        <v>43427.094837962963</v>
      </c>
      <c r="B1099" s="7" t="str">
        <f>HYPERLINK("https://twitter.com/RNahuel_XXI","@RNahuel_XXI")</f>
        <v>@RNahuel_XXI</v>
      </c>
      <c r="C1099" s="8" t="s">
        <v>4409</v>
      </c>
      <c r="D1099" s="9" t="s">
        <v>4410</v>
      </c>
      <c r="E1099" s="10" t="str">
        <f>HYPERLINK("https://twitter.com/RNahuel_XXI/status/1065776085638569985","1065776085638569985")</f>
        <v>1065776085638569985</v>
      </c>
      <c r="F1099" s="11" t="s">
        <v>2572</v>
      </c>
      <c r="G1099" s="12"/>
      <c r="H1099" s="12"/>
      <c r="I1099" s="13">
        <v>0</v>
      </c>
      <c r="J1099" s="13">
        <v>0</v>
      </c>
      <c r="K1099" s="14" t="str">
        <f t="shared" si="191"/>
        <v>Twitter Web Client</v>
      </c>
      <c r="L1099" s="13">
        <v>2592</v>
      </c>
      <c r="M1099" s="13">
        <v>3024</v>
      </c>
      <c r="N1099" s="13">
        <v>13</v>
      </c>
      <c r="O1099" s="15"/>
      <c r="P1099" s="6">
        <v>42478.914814814816</v>
      </c>
      <c r="Q1099" s="17" t="s">
        <v>4411</v>
      </c>
      <c r="R1099" s="18" t="s">
        <v>4412</v>
      </c>
      <c r="S1099" s="11" t="s">
        <v>4413</v>
      </c>
      <c r="T1099" s="12"/>
      <c r="U1099" s="10" t="str">
        <f>HYPERLINK("https://pbs.twimg.com/profile_images/793235523615789056/xOmSKjbC.jpg","View")</f>
        <v>View</v>
      </c>
    </row>
    <row r="1100" spans="1:21" ht="30.6">
      <c r="A1100" s="6">
        <v>43427.094398148147</v>
      </c>
      <c r="B1100" s="7" t="str">
        <f>HYPERLINK("https://twitter.com/Edu_AriasAE","@Edu_AriasAE")</f>
        <v>@Edu_AriasAE</v>
      </c>
      <c r="C1100" s="8" t="s">
        <v>4414</v>
      </c>
      <c r="D1100" s="9" t="s">
        <v>4415</v>
      </c>
      <c r="E1100" s="10" t="str">
        <f>HYPERLINK("https://twitter.com/Edu_AriasAE/status/1065775927609761793","1065775927609761793")</f>
        <v>1065775927609761793</v>
      </c>
      <c r="F1100" s="12"/>
      <c r="G1100" s="12"/>
      <c r="H1100" s="12"/>
      <c r="I1100" s="13">
        <v>2</v>
      </c>
      <c r="J1100" s="13">
        <v>4</v>
      </c>
      <c r="K1100" s="14" t="str">
        <f t="shared" si="191"/>
        <v>Twitter Web Client</v>
      </c>
      <c r="L1100" s="13">
        <v>1554</v>
      </c>
      <c r="M1100" s="13">
        <v>1608</v>
      </c>
      <c r="N1100" s="13">
        <v>17</v>
      </c>
      <c r="O1100" s="15"/>
      <c r="P1100" s="6">
        <v>43021.883703703701</v>
      </c>
      <c r="Q1100" s="17" t="s">
        <v>28</v>
      </c>
      <c r="R1100" s="18" t="s">
        <v>4416</v>
      </c>
      <c r="S1100" s="12"/>
      <c r="T1100" s="12"/>
      <c r="U1100" s="10" t="str">
        <f>HYPERLINK("https://pbs.twimg.com/profile_images/1060488387327598592/mTIb61SV.jpg","View")</f>
        <v>View</v>
      </c>
    </row>
    <row r="1101" spans="1:21" ht="30.6">
      <c r="A1101" s="6">
        <v>43427.09337962963</v>
      </c>
      <c r="B1101" s="7" t="str">
        <f>HYPERLINK("https://twitter.com/pistilo77","@pistilo77")</f>
        <v>@pistilo77</v>
      </c>
      <c r="C1101" s="8" t="s">
        <v>4417</v>
      </c>
      <c r="D1101" s="9" t="s">
        <v>4418</v>
      </c>
      <c r="E1101" s="10" t="str">
        <f>HYPERLINK("https://twitter.com/pistilo77/status/1065775558083043329","1065775558083043329")</f>
        <v>1065775558083043329</v>
      </c>
      <c r="F1101" s="11" t="s">
        <v>4420</v>
      </c>
      <c r="G1101" s="12"/>
      <c r="H1101" s="12"/>
      <c r="I1101" s="13">
        <v>0</v>
      </c>
      <c r="J1101" s="13">
        <v>0</v>
      </c>
      <c r="K1101" s="14" t="str">
        <f t="shared" si="191"/>
        <v>Twitter Web Client</v>
      </c>
      <c r="L1101" s="13">
        <v>567</v>
      </c>
      <c r="M1101" s="13">
        <v>61</v>
      </c>
      <c r="N1101" s="13">
        <v>4</v>
      </c>
      <c r="O1101" s="15"/>
      <c r="P1101" s="6">
        <v>39896.572627314818</v>
      </c>
      <c r="Q1101" s="12"/>
      <c r="R1101" s="19"/>
      <c r="S1101" s="12"/>
      <c r="T1101" s="12"/>
      <c r="U1101" s="10" t="str">
        <f>HYPERLINK("https://pbs.twimg.com/profile_images/945832148807880706/0ZYyTDDJ.jpg","View")</f>
        <v>View</v>
      </c>
    </row>
    <row r="1102" spans="1:21" ht="51">
      <c r="A1102" s="6">
        <v>43427.093229166669</v>
      </c>
      <c r="B1102" s="7" t="str">
        <f>HYPERLINK("https://twitter.com/MPMorilloRocha","@MPMorilloRocha")</f>
        <v>@MPMorilloRocha</v>
      </c>
      <c r="C1102" s="8" t="s">
        <v>2869</v>
      </c>
      <c r="D1102" s="9" t="s">
        <v>4424</v>
      </c>
      <c r="E1102" s="10" t="str">
        <f>HYPERLINK("https://twitter.com/MPMorilloRocha/status/1065775500017176583","1065775500017176583")</f>
        <v>1065775500017176583</v>
      </c>
      <c r="F1102" s="11" t="s">
        <v>1253</v>
      </c>
      <c r="G1102" s="12"/>
      <c r="H1102" s="12"/>
      <c r="I1102" s="13">
        <v>0</v>
      </c>
      <c r="J1102" s="13">
        <v>0</v>
      </c>
      <c r="K1102" s="14" t="str">
        <f t="shared" si="191"/>
        <v>Twitter Web Client</v>
      </c>
      <c r="L1102" s="13">
        <v>2751</v>
      </c>
      <c r="M1102" s="13">
        <v>5001</v>
      </c>
      <c r="N1102" s="13">
        <v>34</v>
      </c>
      <c r="O1102" s="15"/>
      <c r="P1102" s="6">
        <v>40433.696481481486</v>
      </c>
      <c r="Q1102" s="17" t="s">
        <v>28</v>
      </c>
      <c r="R1102" s="18" t="s">
        <v>2872</v>
      </c>
      <c r="S1102" s="11" t="s">
        <v>2873</v>
      </c>
      <c r="T1102" s="12"/>
      <c r="U1102" s="10" t="str">
        <f>HYPERLINK("https://pbs.twimg.com/profile_images/1122349030/IMG000091__1_.jpg","View")</f>
        <v>View</v>
      </c>
    </row>
    <row r="1103" spans="1:21" ht="30.6">
      <c r="A1103" s="6">
        <v>43427.093124999999</v>
      </c>
      <c r="B1103" s="7" t="str">
        <f>HYPERLINK("https://twitter.com/noesfaciil","@noesfaciil")</f>
        <v>@noesfaciil</v>
      </c>
      <c r="C1103" s="8" t="s">
        <v>4425</v>
      </c>
      <c r="D1103" s="9" t="s">
        <v>162</v>
      </c>
      <c r="E1103" s="10" t="str">
        <f>HYPERLINK("https://twitter.com/noesfaciil/status/1065775464147533826","1065775464147533826")</f>
        <v>1065775464147533826</v>
      </c>
      <c r="F1103" s="11" t="s">
        <v>163</v>
      </c>
      <c r="G1103" s="12"/>
      <c r="H1103" s="12"/>
      <c r="I1103" s="13">
        <v>0</v>
      </c>
      <c r="J1103" s="13">
        <v>0</v>
      </c>
      <c r="K1103" s="14" t="str">
        <f t="shared" si="191"/>
        <v>Twitter Web Client</v>
      </c>
      <c r="L1103" s="13">
        <v>283</v>
      </c>
      <c r="M1103" s="13">
        <v>1050</v>
      </c>
      <c r="N1103" s="13">
        <v>1</v>
      </c>
      <c r="O1103" s="15"/>
      <c r="P1103" s="6">
        <v>43207.534513888888</v>
      </c>
      <c r="Q1103" s="12"/>
      <c r="R1103" s="19"/>
      <c r="S1103" s="12"/>
      <c r="T1103" s="12"/>
      <c r="U1103" s="10" t="str">
        <f>HYPERLINK("https://pbs.twimg.com/profile_images/991101314154270721/CU7QIeLU.jpg","View")</f>
        <v>View</v>
      </c>
    </row>
    <row r="1104" spans="1:21" ht="20.399999999999999">
      <c r="A1104" s="6">
        <v>43427.09101851852</v>
      </c>
      <c r="B1104" s="7" t="str">
        <f>HYPERLINK("https://twitter.com/nacionenorden","@nacionenorden")</f>
        <v>@nacionenorden</v>
      </c>
      <c r="C1104" s="8" t="s">
        <v>4426</v>
      </c>
      <c r="D1104" s="9" t="s">
        <v>4427</v>
      </c>
      <c r="E1104" s="10" t="str">
        <f>HYPERLINK("https://twitter.com/nacionenorden/status/1065774700805201921","1065774700805201921")</f>
        <v>1065774700805201921</v>
      </c>
      <c r="F1104" s="11" t="s">
        <v>2231</v>
      </c>
      <c r="G1104" s="12"/>
      <c r="H1104" s="12"/>
      <c r="I1104" s="13">
        <v>0</v>
      </c>
      <c r="J1104" s="13">
        <v>0</v>
      </c>
      <c r="K1104" s="14" t="str">
        <f>HYPERLINK("http://twitter.com/download/android","Twitter for Android")</f>
        <v>Twitter for Android</v>
      </c>
      <c r="L1104" s="13">
        <v>299</v>
      </c>
      <c r="M1104" s="13">
        <v>355</v>
      </c>
      <c r="N1104" s="13">
        <v>1</v>
      </c>
      <c r="O1104" s="15"/>
      <c r="P1104" s="6">
        <v>42689.965497685189</v>
      </c>
      <c r="Q1104" s="17" t="s">
        <v>4428</v>
      </c>
      <c r="R1104" s="18" t="s">
        <v>4429</v>
      </c>
      <c r="S1104" s="12"/>
      <c r="T1104" s="12"/>
      <c r="U1104" s="10" t="str">
        <f>HYPERLINK("https://pbs.twimg.com/profile_images/1057414068355678208/crJBFyKW.jpg","View")</f>
        <v>View</v>
      </c>
    </row>
    <row r="1105" spans="1:21" ht="30.6">
      <c r="A1105" s="6">
        <v>43427.09002314815</v>
      </c>
      <c r="B1105" s="7" t="str">
        <f>HYPERLINK("https://twitter.com/minhvi_carabobo","@minhvi_carabobo")</f>
        <v>@minhvi_carabobo</v>
      </c>
      <c r="C1105" s="8" t="s">
        <v>4430</v>
      </c>
      <c r="D1105" s="9" t="s">
        <v>4431</v>
      </c>
      <c r="E1105" s="10" t="str">
        <f>HYPERLINK("https://twitter.com/minhvi_carabobo/status/1065774338685788162","1065774338685788162")</f>
        <v>1065774338685788162</v>
      </c>
      <c r="F1105" s="12"/>
      <c r="G1105" s="11" t="s">
        <v>4432</v>
      </c>
      <c r="H1105" s="12"/>
      <c r="I1105" s="13">
        <v>1</v>
      </c>
      <c r="J1105" s="13">
        <v>0</v>
      </c>
      <c r="K1105" s="14" t="str">
        <f>HYPERLINK("http://twitter.com","Twitter Web Client")</f>
        <v>Twitter Web Client</v>
      </c>
      <c r="L1105" s="13">
        <v>1593</v>
      </c>
      <c r="M1105" s="13">
        <v>977</v>
      </c>
      <c r="N1105" s="13">
        <v>9</v>
      </c>
      <c r="O1105" s="15"/>
      <c r="P1105" s="6">
        <v>42131.848182870366</v>
      </c>
      <c r="Q1105" s="17" t="s">
        <v>4138</v>
      </c>
      <c r="R1105" s="19"/>
      <c r="S1105" s="11" t="s">
        <v>4433</v>
      </c>
      <c r="T1105" s="12"/>
      <c r="U1105" s="10" t="str">
        <f>HYPERLINK("https://pbs.twimg.com/profile_images/601833634597769216/j02U8Q8M.jpg","View")</f>
        <v>View</v>
      </c>
    </row>
    <row r="1106" spans="1:21" ht="20.399999999999999">
      <c r="A1106" s="6">
        <v>43427.088310185187</v>
      </c>
      <c r="B1106" s="7" t="str">
        <f>HYPERLINK("https://twitter.com/NoticiasVenezue","@NoticiasVenezue")</f>
        <v>@NoticiasVenezue</v>
      </c>
      <c r="C1106" s="8" t="s">
        <v>4070</v>
      </c>
      <c r="D1106" s="9" t="s">
        <v>1334</v>
      </c>
      <c r="E1106" s="10" t="str">
        <f>HYPERLINK("https://twitter.com/NoticiasVenezue/status/1065773721351270402","1065773721351270402")</f>
        <v>1065773721351270402</v>
      </c>
      <c r="F1106" s="11" t="s">
        <v>4434</v>
      </c>
      <c r="G1106" s="12"/>
      <c r="H1106" s="12"/>
      <c r="I1106" s="13">
        <v>0</v>
      </c>
      <c r="J1106" s="13">
        <v>0</v>
      </c>
      <c r="K1106" s="14" t="str">
        <f>HYPERLINK("http://noticiasvenezuela.org/","Noticiasvenezuela.org")</f>
        <v>Noticiasvenezuela.org</v>
      </c>
      <c r="L1106" s="13">
        <v>847998</v>
      </c>
      <c r="M1106" s="13">
        <v>107736</v>
      </c>
      <c r="N1106" s="13">
        <v>4005</v>
      </c>
      <c r="O1106" s="16" t="s">
        <v>26</v>
      </c>
      <c r="P1106" s="6">
        <v>39960.368576388893</v>
      </c>
      <c r="Q1106" s="17" t="s">
        <v>383</v>
      </c>
      <c r="R1106" s="18" t="s">
        <v>4073</v>
      </c>
      <c r="S1106" s="11" t="s">
        <v>4074</v>
      </c>
      <c r="T1106" s="12"/>
      <c r="U1106" s="10" t="str">
        <f>HYPERLINK("https://pbs.twimg.com/profile_images/1051102549061849088/xDOWgbtI.jpg","View")</f>
        <v>View</v>
      </c>
    </row>
    <row r="1107" spans="1:21" ht="20.399999999999999">
      <c r="A1107" s="6">
        <v>43427.087592592594</v>
      </c>
      <c r="B1107" s="7" t="str">
        <f>HYPERLINK("https://twitter.com/ANTPODEMOS","@ANTPODEMOS")</f>
        <v>@ANTPODEMOS</v>
      </c>
      <c r="C1107" s="8" t="s">
        <v>4435</v>
      </c>
      <c r="D1107" s="9" t="s">
        <v>4436</v>
      </c>
      <c r="E1107" s="10" t="str">
        <f>HYPERLINK("https://twitter.com/ANTPODEMOS/status/1065773457974181890","1065773457974181890")</f>
        <v>1065773457974181890</v>
      </c>
      <c r="F1107" s="11" t="s">
        <v>707</v>
      </c>
      <c r="G1107" s="12"/>
      <c r="H1107" s="12"/>
      <c r="I1107" s="13">
        <v>2</v>
      </c>
      <c r="J1107" s="13">
        <v>1</v>
      </c>
      <c r="K1107" s="14" t="str">
        <f>HYPERLINK("http://www.facebook.com/twitter","Facebook")</f>
        <v>Facebook</v>
      </c>
      <c r="L1107" s="13">
        <v>5482</v>
      </c>
      <c r="M1107" s="13">
        <v>421</v>
      </c>
      <c r="N1107" s="13">
        <v>58</v>
      </c>
      <c r="O1107" s="15"/>
      <c r="P1107" s="6">
        <v>41956.204837962963</v>
      </c>
      <c r="Q1107" s="17" t="s">
        <v>28</v>
      </c>
      <c r="R1107" s="18" t="s">
        <v>4437</v>
      </c>
      <c r="S1107" s="11" t="s">
        <v>4438</v>
      </c>
      <c r="T1107" s="12"/>
      <c r="U1107" s="10" t="str">
        <f>HYPERLINK("https://pbs.twimg.com/profile_images/952681544224854017/rVAhotfW.jpg","View")</f>
        <v>View</v>
      </c>
    </row>
    <row r="1108" spans="1:21" ht="40.799999999999997">
      <c r="A1108" s="6">
        <v>43427.086412037039</v>
      </c>
      <c r="B1108" s="7" t="str">
        <f>HYPERLINK("https://twitter.com/pilar_balado","@pilar_balado")</f>
        <v>@pilar_balado</v>
      </c>
      <c r="C1108" s="8" t="s">
        <v>4386</v>
      </c>
      <c r="D1108" s="9" t="s">
        <v>4439</v>
      </c>
      <c r="E1108" s="10" t="str">
        <f>HYPERLINK("https://twitter.com/pilar_balado/status/1065773032797544453","1065773032797544453")</f>
        <v>1065773032797544453</v>
      </c>
      <c r="F1108" s="11" t="s">
        <v>4440</v>
      </c>
      <c r="G1108" s="12"/>
      <c r="H1108" s="12"/>
      <c r="I1108" s="13">
        <v>0</v>
      </c>
      <c r="J1108" s="13">
        <v>0</v>
      </c>
      <c r="K1108" s="14" t="str">
        <f t="shared" ref="K1108:K1109" si="192">HYPERLINK("http://twitter.com/download/android","Twitter for Android")</f>
        <v>Twitter for Android</v>
      </c>
      <c r="L1108" s="13">
        <v>1399</v>
      </c>
      <c r="M1108" s="13">
        <v>1016</v>
      </c>
      <c r="N1108" s="13">
        <v>186</v>
      </c>
      <c r="O1108" s="15"/>
      <c r="P1108" s="6">
        <v>41866.857129629629</v>
      </c>
      <c r="Q1108" s="12"/>
      <c r="R1108" s="18" t="s">
        <v>4389</v>
      </c>
      <c r="S1108" s="12"/>
      <c r="T1108" s="12"/>
      <c r="U1108" s="10" t="str">
        <f>HYPERLINK("https://pbs.twimg.com/profile_images/539512876017664000/3akyRwTo.jpeg","View")</f>
        <v>View</v>
      </c>
    </row>
    <row r="1109" spans="1:21" ht="30.6">
      <c r="A1109" s="6">
        <v>43427.085752314815</v>
      </c>
      <c r="B1109" s="7" t="str">
        <f>HYPERLINK("https://twitter.com/Jojotoweb","@Jojotoweb")</f>
        <v>@Jojotoweb</v>
      </c>
      <c r="C1109" s="8" t="s">
        <v>766</v>
      </c>
      <c r="D1109" s="9" t="s">
        <v>4441</v>
      </c>
      <c r="E1109" s="10" t="str">
        <f>HYPERLINK("https://twitter.com/Jojotoweb/status/1065772793437011978","1065772793437011978")</f>
        <v>1065772793437011978</v>
      </c>
      <c r="F1109" s="12"/>
      <c r="G1109" s="11" t="s">
        <v>4442</v>
      </c>
      <c r="H1109" s="12"/>
      <c r="I1109" s="13">
        <v>0</v>
      </c>
      <c r="J1109" s="13">
        <v>0</v>
      </c>
      <c r="K1109" s="14" t="str">
        <f t="shared" si="192"/>
        <v>Twitter for Android</v>
      </c>
      <c r="L1109" s="13">
        <v>2768</v>
      </c>
      <c r="M1109" s="13">
        <v>354</v>
      </c>
      <c r="N1109" s="13">
        <v>28</v>
      </c>
      <c r="O1109" s="15"/>
      <c r="P1109" s="6">
        <v>42450.441354166665</v>
      </c>
      <c r="Q1109" s="17" t="s">
        <v>104</v>
      </c>
      <c r="R1109" s="18" t="s">
        <v>770</v>
      </c>
      <c r="S1109" s="11" t="s">
        <v>771</v>
      </c>
      <c r="T1109" s="12"/>
      <c r="U1109" s="10" t="str">
        <f>HYPERLINK("https://pbs.twimg.com/profile_images/714839628046540800/rwev_wKy.jpg","View")</f>
        <v>View</v>
      </c>
    </row>
    <row r="1110" spans="1:21" ht="30.6">
      <c r="A1110" s="6">
        <v>43427.085138888884</v>
      </c>
      <c r="B1110" s="7" t="str">
        <f>HYPERLINK("https://twitter.com/WRadioColombia","@WRadioColombia")</f>
        <v>@WRadioColombia</v>
      </c>
      <c r="C1110" s="8" t="s">
        <v>4443</v>
      </c>
      <c r="D1110" s="9" t="s">
        <v>4444</v>
      </c>
      <c r="E1110" s="10" t="str">
        <f>HYPERLINK("https://twitter.com/WRadioColombia/status/1065772572086845440","1065772572086845440")</f>
        <v>1065772572086845440</v>
      </c>
      <c r="F1110" s="11" t="s">
        <v>4445</v>
      </c>
      <c r="G1110" s="11" t="s">
        <v>4446</v>
      </c>
      <c r="H1110" s="12"/>
      <c r="I1110" s="13">
        <v>1</v>
      </c>
      <c r="J1110" s="13">
        <v>2</v>
      </c>
      <c r="K1110" s="14" t="str">
        <f>HYPERLINK("https://about.twitter.com/products/tweetdeck","TweetDeck")</f>
        <v>TweetDeck</v>
      </c>
      <c r="L1110" s="13">
        <v>3590535</v>
      </c>
      <c r="M1110" s="13">
        <v>290</v>
      </c>
      <c r="N1110" s="13">
        <v>9361</v>
      </c>
      <c r="O1110" s="16" t="s">
        <v>26</v>
      </c>
      <c r="P1110" s="6">
        <v>39855.062407407408</v>
      </c>
      <c r="Q1110" s="17" t="s">
        <v>2506</v>
      </c>
      <c r="R1110" s="18" t="s">
        <v>4447</v>
      </c>
      <c r="S1110" s="11" t="s">
        <v>4448</v>
      </c>
      <c r="T1110" s="12"/>
      <c r="U1110" s="10" t="str">
        <f>HYPERLINK("https://pbs.twimg.com/profile_images/441573492639559680/PX93UT60.png","View")</f>
        <v>View</v>
      </c>
    </row>
    <row r="1111" spans="1:21" ht="112.2">
      <c r="A1111" s="6">
        <v>43427.083599537036</v>
      </c>
      <c r="B1111" s="7" t="str">
        <f>HYPERLINK("https://twitter.com/PepitaMenaMart1","@PepitaMenaMart1")</f>
        <v>@PepitaMenaMart1</v>
      </c>
      <c r="C1111" s="8" t="s">
        <v>4171</v>
      </c>
      <c r="D1111" s="9" t="s">
        <v>4449</v>
      </c>
      <c r="E1111" s="10" t="str">
        <f>HYPERLINK("https://twitter.com/PepitaMenaMart1/status/1065772011090296833","1065772011090296833")</f>
        <v>1065772011090296833</v>
      </c>
      <c r="F1111" s="17" t="s">
        <v>4450</v>
      </c>
      <c r="G1111" s="12"/>
      <c r="H1111" s="12"/>
      <c r="I1111" s="13">
        <v>0</v>
      </c>
      <c r="J1111" s="13">
        <v>0</v>
      </c>
      <c r="K1111" s="14" t="str">
        <f>HYPERLINK("http://twitter.com/download/android","Twitter for Android")</f>
        <v>Twitter for Android</v>
      </c>
      <c r="L1111" s="13">
        <v>408</v>
      </c>
      <c r="M1111" s="13">
        <v>334</v>
      </c>
      <c r="N1111" s="13">
        <v>1</v>
      </c>
      <c r="O1111" s="15"/>
      <c r="P1111" s="6">
        <v>43124.888506944444</v>
      </c>
      <c r="Q1111" s="17" t="s">
        <v>4175</v>
      </c>
      <c r="R1111" s="18" t="s">
        <v>4176</v>
      </c>
      <c r="S1111" s="12"/>
      <c r="T1111" s="12"/>
      <c r="U1111" s="10" t="str">
        <f>HYPERLINK("https://pbs.twimg.com/profile_images/1053410905311064064/xChXdA8v.jpg","View")</f>
        <v>View</v>
      </c>
    </row>
    <row r="1112" spans="1:21" ht="20.399999999999999">
      <c r="A1112" s="6">
        <v>43427.08357638889</v>
      </c>
      <c r="B1112" s="7" t="str">
        <f>HYPERLINK("https://twitter.com/Foro_TV","@Foro_TV")</f>
        <v>@Foro_TV</v>
      </c>
      <c r="C1112" s="8" t="s">
        <v>4451</v>
      </c>
      <c r="D1112" s="9" t="s">
        <v>4452</v>
      </c>
      <c r="E1112" s="10" t="str">
        <f>HYPERLINK("https://twitter.com/Foro_TV/status/1065772001955102720","1065772001955102720")</f>
        <v>1065772001955102720</v>
      </c>
      <c r="F1112" s="11" t="s">
        <v>4453</v>
      </c>
      <c r="G1112" s="11" t="s">
        <v>4454</v>
      </c>
      <c r="H1112" s="12"/>
      <c r="I1112" s="13">
        <v>1</v>
      </c>
      <c r="J1112" s="13">
        <v>8</v>
      </c>
      <c r="K1112" s="14" t="str">
        <f>HYPERLINK("https://www.hootsuite.com","Hootsuite Inc.")</f>
        <v>Hootsuite Inc.</v>
      </c>
      <c r="L1112" s="13">
        <v>1421672</v>
      </c>
      <c r="M1112" s="13">
        <v>554</v>
      </c>
      <c r="N1112" s="13">
        <v>6577</v>
      </c>
      <c r="O1112" s="16" t="s">
        <v>26</v>
      </c>
      <c r="P1112" s="6">
        <v>40207.879016203704</v>
      </c>
      <c r="Q1112" s="17" t="s">
        <v>4455</v>
      </c>
      <c r="R1112" s="18" t="s">
        <v>4456</v>
      </c>
      <c r="S1112" s="11" t="s">
        <v>4457</v>
      </c>
      <c r="T1112" s="12"/>
      <c r="U1112" s="10" t="str">
        <f>HYPERLINK("https://pbs.twimg.com/profile_images/1057408851253714946/GSxqNEQv.jpg","View")</f>
        <v>View</v>
      </c>
    </row>
    <row r="1113" spans="1:21" ht="30.6">
      <c r="A1113" s="6">
        <v>43427.083437499998</v>
      </c>
      <c r="B1113" s="7" t="str">
        <f>HYPERLINK("https://twitter.com/TheObjective_es","@TheObjective_es")</f>
        <v>@TheObjective_es</v>
      </c>
      <c r="C1113" s="8" t="s">
        <v>499</v>
      </c>
      <c r="D1113" s="9" t="s">
        <v>4458</v>
      </c>
      <c r="E1113" s="10" t="str">
        <f>HYPERLINK("https://twitter.com/TheObjective_es/status/1065771955498962944","1065771955498962944")</f>
        <v>1065771955498962944</v>
      </c>
      <c r="F1113" s="11" t="s">
        <v>4459</v>
      </c>
      <c r="G1113" s="12"/>
      <c r="H1113" s="12"/>
      <c r="I1113" s="13">
        <v>0</v>
      </c>
      <c r="J1113" s="13">
        <v>2</v>
      </c>
      <c r="K1113" s="14" t="str">
        <f>HYPERLINK("https://buffer.com","Buffer")</f>
        <v>Buffer</v>
      </c>
      <c r="L1113" s="13">
        <v>50591</v>
      </c>
      <c r="M1113" s="13">
        <v>709</v>
      </c>
      <c r="N1113" s="13">
        <v>1216</v>
      </c>
      <c r="O1113" s="15"/>
      <c r="P1113" s="6">
        <v>41473.393935185188</v>
      </c>
      <c r="Q1113" s="17" t="s">
        <v>436</v>
      </c>
      <c r="R1113" s="18" t="s">
        <v>503</v>
      </c>
      <c r="S1113" s="11" t="s">
        <v>504</v>
      </c>
      <c r="T1113" s="12"/>
      <c r="U1113" s="10" t="str">
        <f>HYPERLINK("https://pbs.twimg.com/profile_images/996760534082117632/umqvtWL2.jpg","View")</f>
        <v>View</v>
      </c>
    </row>
    <row r="1114" spans="1:21" ht="20.399999999999999">
      <c r="A1114" s="6">
        <v>43427.083287037036</v>
      </c>
      <c r="B1114" s="7" t="str">
        <f>HYPERLINK("https://twitter.com/hamp89","@hamp89")</f>
        <v>@hamp89</v>
      </c>
      <c r="C1114" s="8" t="s">
        <v>4460</v>
      </c>
      <c r="D1114" s="9" t="s">
        <v>4461</v>
      </c>
      <c r="E1114" s="10" t="str">
        <f>HYPERLINK("https://twitter.com/hamp89/status/1065771898028609536","1065771898028609536")</f>
        <v>1065771898028609536</v>
      </c>
      <c r="F1114" s="11" t="s">
        <v>372</v>
      </c>
      <c r="G1114" s="12"/>
      <c r="H1114" s="12"/>
      <c r="I1114" s="13">
        <v>0</v>
      </c>
      <c r="J1114" s="13">
        <v>0</v>
      </c>
      <c r="K1114" s="14" t="str">
        <f>HYPERLINK("http://twitter.com","Twitter Web Client")</f>
        <v>Twitter Web Client</v>
      </c>
      <c r="L1114" s="13">
        <v>1203</v>
      </c>
      <c r="M1114" s="13">
        <v>4989</v>
      </c>
      <c r="N1114" s="13">
        <v>3</v>
      </c>
      <c r="O1114" s="15"/>
      <c r="P1114" s="6">
        <v>40044.592175925922</v>
      </c>
      <c r="Q1114" s="12"/>
      <c r="R1114" s="18" t="s">
        <v>4462</v>
      </c>
      <c r="S1114" s="12"/>
      <c r="T1114" s="12"/>
      <c r="U1114" s="10" t="str">
        <f>HYPERLINK("https://pbs.twimg.com/profile_images/882736909428154368/ouGY9Dki.jpg","View")</f>
        <v>View</v>
      </c>
    </row>
    <row r="1115" spans="1:21" ht="13.2">
      <c r="A1115" s="6">
        <v>43427.081701388888</v>
      </c>
      <c r="B1115" s="7" t="str">
        <f>HYPERLINK("https://twitter.com/sumariumcom","@sumariumcom")</f>
        <v>@sumariumcom</v>
      </c>
      <c r="C1115" s="8" t="s">
        <v>1974</v>
      </c>
      <c r="D1115" s="9" t="s">
        <v>4463</v>
      </c>
      <c r="E1115" s="10" t="str">
        <f>HYPERLINK("https://twitter.com/sumariumcom/status/1065771323799060480","1065771323799060480")</f>
        <v>1065771323799060480</v>
      </c>
      <c r="F1115" s="11" t="s">
        <v>4464</v>
      </c>
      <c r="G1115" s="11" t="s">
        <v>4465</v>
      </c>
      <c r="H1115" s="12"/>
      <c r="I1115" s="13">
        <v>0</v>
      </c>
      <c r="J1115" s="13">
        <v>0</v>
      </c>
      <c r="K1115" s="14" t="str">
        <f>HYPERLINK("https://about.twitter.com/products/tweetdeck","TweetDeck")</f>
        <v>TweetDeck</v>
      </c>
      <c r="L1115" s="13">
        <v>164226</v>
      </c>
      <c r="M1115" s="13">
        <v>994</v>
      </c>
      <c r="N1115" s="13">
        <v>1117</v>
      </c>
      <c r="O1115" s="15"/>
      <c r="P1115" s="6">
        <v>40977.809594907405</v>
      </c>
      <c r="Q1115" s="17" t="s">
        <v>1978</v>
      </c>
      <c r="R1115" s="19"/>
      <c r="S1115" s="11" t="s">
        <v>1979</v>
      </c>
      <c r="T1115" s="12"/>
      <c r="U1115" s="10" t="str">
        <f>HYPERLINK("https://pbs.twimg.com/profile_images/1061987847874469888/mok5IDTt.jpg","View")</f>
        <v>View</v>
      </c>
    </row>
    <row r="1116" spans="1:21" ht="20.399999999999999">
      <c r="A1116" s="6">
        <v>43427.081400462965</v>
      </c>
      <c r="B1116" s="7" t="str">
        <f>HYPERLINK("https://twitter.com/geopoliting","@geopoliting")</f>
        <v>@geopoliting</v>
      </c>
      <c r="C1116" s="8" t="s">
        <v>4466</v>
      </c>
      <c r="D1116" s="9" t="s">
        <v>4467</v>
      </c>
      <c r="E1116" s="10" t="str">
        <f>HYPERLINK("https://twitter.com/geopoliting/status/1065771217146269701","1065771217146269701")</f>
        <v>1065771217146269701</v>
      </c>
      <c r="F1116" s="11" t="s">
        <v>4468</v>
      </c>
      <c r="G1116" s="12"/>
      <c r="H1116" s="12"/>
      <c r="I1116" s="13">
        <v>0</v>
      </c>
      <c r="J1116" s="13">
        <v>0</v>
      </c>
      <c r="K1116" s="14" t="str">
        <f>HYPERLINK("http://geopoliting.com","geopoliting")</f>
        <v>geopoliting</v>
      </c>
      <c r="L1116" s="13">
        <v>2555</v>
      </c>
      <c r="M1116" s="13">
        <v>824</v>
      </c>
      <c r="N1116" s="13">
        <v>1171</v>
      </c>
      <c r="O1116" s="15"/>
      <c r="P1116" s="6">
        <v>40727.958761574075</v>
      </c>
      <c r="Q1116" s="17" t="s">
        <v>2506</v>
      </c>
      <c r="R1116" s="18" t="s">
        <v>4469</v>
      </c>
      <c r="S1116" s="11" t="s">
        <v>4470</v>
      </c>
      <c r="T1116" s="12"/>
      <c r="U1116" s="10" t="str">
        <f>HYPERLINK("https://pbs.twimg.com/profile_images/3061930385/8bc149421824fc2dfd1940ea3e8f0448.png","View")</f>
        <v>View</v>
      </c>
    </row>
    <row r="1117" spans="1:21" ht="40.799999999999997">
      <c r="A1117" s="6">
        <v>43427.08048611111</v>
      </c>
      <c r="B1117" s="7" t="str">
        <f>HYPERLINK("https://twitter.com/pilar_balado","@pilar_balado")</f>
        <v>@pilar_balado</v>
      </c>
      <c r="C1117" s="8" t="s">
        <v>4386</v>
      </c>
      <c r="D1117" s="9" t="s">
        <v>4471</v>
      </c>
      <c r="E1117" s="10" t="str">
        <f>HYPERLINK("https://twitter.com/pilar_balado/status/1065770885930524672","1065770885930524672")</f>
        <v>1065770885930524672</v>
      </c>
      <c r="F1117" s="11" t="s">
        <v>4472</v>
      </c>
      <c r="G1117" s="12"/>
      <c r="H1117" s="12"/>
      <c r="I1117" s="13">
        <v>0</v>
      </c>
      <c r="J1117" s="13">
        <v>0</v>
      </c>
      <c r="K1117" s="14" t="str">
        <f t="shared" ref="K1117:K1118" si="193">HYPERLINK("http://twitter.com/download/android","Twitter for Android")</f>
        <v>Twitter for Android</v>
      </c>
      <c r="L1117" s="13">
        <v>1399</v>
      </c>
      <c r="M1117" s="13">
        <v>1016</v>
      </c>
      <c r="N1117" s="13">
        <v>186</v>
      </c>
      <c r="O1117" s="15"/>
      <c r="P1117" s="6">
        <v>41866.857129629629</v>
      </c>
      <c r="Q1117" s="12"/>
      <c r="R1117" s="18" t="s">
        <v>4389</v>
      </c>
      <c r="S1117" s="12"/>
      <c r="T1117" s="12"/>
      <c r="U1117" s="10" t="str">
        <f>HYPERLINK("https://pbs.twimg.com/profile_images/539512876017664000/3akyRwTo.jpeg","View")</f>
        <v>View</v>
      </c>
    </row>
    <row r="1118" spans="1:21" ht="61.2">
      <c r="A1118" s="6">
        <v>43427.078668981485</v>
      </c>
      <c r="B1118" s="7" t="str">
        <f>HYPERLINK("https://twitter.com/caribesur2000","@caribesur2000")</f>
        <v>@caribesur2000</v>
      </c>
      <c r="C1118" s="8" t="s">
        <v>4473</v>
      </c>
      <c r="D1118" s="9" t="s">
        <v>4474</v>
      </c>
      <c r="E1118" s="10" t="str">
        <f>HYPERLINK("https://twitter.com/caribesur2000/status/1065770223566012416","1065770223566012416")</f>
        <v>1065770223566012416</v>
      </c>
      <c r="F1118" s="11" t="s">
        <v>4475</v>
      </c>
      <c r="G1118" s="12"/>
      <c r="H1118" s="12"/>
      <c r="I1118" s="13">
        <v>0</v>
      </c>
      <c r="J1118" s="13">
        <v>1</v>
      </c>
      <c r="K1118" s="14" t="str">
        <f t="shared" si="193"/>
        <v>Twitter for Android</v>
      </c>
      <c r="L1118" s="13">
        <v>1647</v>
      </c>
      <c r="M1118" s="13">
        <v>5002</v>
      </c>
      <c r="N1118" s="13">
        <v>5</v>
      </c>
      <c r="O1118" s="15"/>
      <c r="P1118" s="6">
        <v>40678.736377314817</v>
      </c>
      <c r="Q1118" s="17" t="s">
        <v>4476</v>
      </c>
      <c r="R1118" s="18" t="s">
        <v>4477</v>
      </c>
      <c r="S1118" s="12"/>
      <c r="T1118" s="12"/>
      <c r="U1118" s="10" t="str">
        <f>HYPERLINK("https://pbs.twimg.com/profile_images/427966624805572608/jJqPEKOD.jpeg","View")</f>
        <v>View</v>
      </c>
    </row>
    <row r="1119" spans="1:21" ht="20.399999999999999">
      <c r="A1119" s="6">
        <v>43427.077777777777</v>
      </c>
      <c r="B1119" s="7" t="str">
        <f>HYPERLINK("https://twitter.com/Moncloa","@Moncloa")</f>
        <v>@Moncloa</v>
      </c>
      <c r="C1119" s="8" t="s">
        <v>1487</v>
      </c>
      <c r="D1119" s="9" t="s">
        <v>4478</v>
      </c>
      <c r="E1119" s="10" t="str">
        <f>HYPERLINK("https://twitter.com/Moncloa/status/1065769902563196928","1065769902563196928")</f>
        <v>1065769902563196928</v>
      </c>
      <c r="F1119" s="11" t="s">
        <v>4479</v>
      </c>
      <c r="G1119" s="12"/>
      <c r="H1119" s="12"/>
      <c r="I1119" s="13">
        <v>0</v>
      </c>
      <c r="J1119" s="13">
        <v>0</v>
      </c>
      <c r="K1119" s="14" t="str">
        <f>HYPERLINK("http://www.gkopu.com/books","MicroContent")</f>
        <v>MicroContent</v>
      </c>
      <c r="L1119" s="13">
        <v>9324</v>
      </c>
      <c r="M1119" s="13">
        <v>1</v>
      </c>
      <c r="N1119" s="13">
        <v>42</v>
      </c>
      <c r="O1119" s="15"/>
      <c r="P1119" s="6">
        <v>40723.496319444443</v>
      </c>
      <c r="Q1119" s="17" t="s">
        <v>28</v>
      </c>
      <c r="R1119" s="18" t="s">
        <v>1490</v>
      </c>
      <c r="S1119" s="12"/>
      <c r="T1119" s="12"/>
      <c r="U1119" s="10" t="str">
        <f>HYPERLINK("https://pbs.twimg.com/profile_images/2272310074/v0xjmozqhpv90d675qs9.jpeg","View")</f>
        <v>View</v>
      </c>
    </row>
    <row r="1120" spans="1:21" ht="40.799999999999997">
      <c r="A1120" s="6">
        <v>43427.077696759261</v>
      </c>
      <c r="B1120" s="7" t="str">
        <f>HYPERLINK("https://twitter.com/teleSURtv","@teleSURtv")</f>
        <v>@teleSURtv</v>
      </c>
      <c r="C1120" s="8" t="s">
        <v>4481</v>
      </c>
      <c r="D1120" s="9" t="s">
        <v>4482</v>
      </c>
      <c r="E1120" s="10" t="str">
        <f>HYPERLINK("https://twitter.com/teleSURtv/status/1065769874604072961","1065769874604072961")</f>
        <v>1065769874604072961</v>
      </c>
      <c r="F1120" s="11" t="s">
        <v>4483</v>
      </c>
      <c r="G1120" s="11" t="s">
        <v>4442</v>
      </c>
      <c r="H1120" s="12"/>
      <c r="I1120" s="13">
        <v>43</v>
      </c>
      <c r="J1120" s="13">
        <v>53</v>
      </c>
      <c r="K1120" s="14" t="str">
        <f>HYPERLINK("http://twitter.com","Twitter Web Client")</f>
        <v>Twitter Web Client</v>
      </c>
      <c r="L1120" s="13">
        <v>1583479</v>
      </c>
      <c r="M1120" s="13">
        <v>310</v>
      </c>
      <c r="N1120" s="13">
        <v>11607</v>
      </c>
      <c r="O1120" s="16" t="s">
        <v>26</v>
      </c>
      <c r="P1120" s="6">
        <v>39970.015150462961</v>
      </c>
      <c r="Q1120" s="17" t="s">
        <v>1194</v>
      </c>
      <c r="R1120" s="18" t="s">
        <v>4484</v>
      </c>
      <c r="S1120" s="11" t="s">
        <v>1700</v>
      </c>
      <c r="T1120" s="12"/>
      <c r="U1120" s="10" t="str">
        <f>HYPERLINK("https://pbs.twimg.com/profile_images/1035661401677807617/c1RXoLrg.jpg","View")</f>
        <v>View</v>
      </c>
    </row>
    <row r="1121" spans="1:21" ht="20.399999999999999">
      <c r="A1121" s="6">
        <v>43427.076226851852</v>
      </c>
      <c r="B1121" s="7" t="str">
        <f>HYPERLINK("https://twitter.com/NoticieroUniv","@NoticieroUniv")</f>
        <v>@NoticieroUniv</v>
      </c>
      <c r="C1121" s="8" t="s">
        <v>965</v>
      </c>
      <c r="D1121" s="9" t="s">
        <v>4485</v>
      </c>
      <c r="E1121" s="10" t="str">
        <f>HYPERLINK("https://twitter.com/NoticieroUniv/status/1065769339507433473","1065769339507433473")</f>
        <v>1065769339507433473</v>
      </c>
      <c r="F1121" s="11" t="s">
        <v>4486</v>
      </c>
      <c r="G1121" s="12"/>
      <c r="H1121" s="12"/>
      <c r="I1121" s="13">
        <v>0</v>
      </c>
      <c r="J1121" s="13">
        <v>0</v>
      </c>
      <c r="K1121" s="14" t="str">
        <f>HYPERLINK("https://noticierouniversal.com/","NoticieroUniversal")</f>
        <v>NoticieroUniversal</v>
      </c>
      <c r="L1121" s="13">
        <v>1080</v>
      </c>
      <c r="M1121" s="13">
        <v>36</v>
      </c>
      <c r="N1121" s="13">
        <v>21</v>
      </c>
      <c r="O1121" s="15"/>
      <c r="P1121" s="6">
        <v>42402.547939814816</v>
      </c>
      <c r="Q1121" s="17" t="s">
        <v>277</v>
      </c>
      <c r="R1121" s="18" t="s">
        <v>968</v>
      </c>
      <c r="S1121" s="11" t="s">
        <v>969</v>
      </c>
      <c r="T1121" s="12"/>
      <c r="U1121" s="10" t="str">
        <f>HYPERLINK("https://pbs.twimg.com/profile_images/719648419925594113/OnR0XNMn.jpg","View")</f>
        <v>View</v>
      </c>
    </row>
    <row r="1122" spans="1:21" ht="51">
      <c r="A1122" s="6">
        <v>43427.07440972222</v>
      </c>
      <c r="B1122" s="7" t="str">
        <f>HYPERLINK("https://twitter.com/CUBAH0RA","@CUBAH0RA")</f>
        <v>@CUBAH0RA</v>
      </c>
      <c r="C1122" s="8" t="s">
        <v>272</v>
      </c>
      <c r="D1122" s="9" t="s">
        <v>4487</v>
      </c>
      <c r="E1122" s="10" t="str">
        <f>HYPERLINK("https://twitter.com/CUBAH0RA/status/1065768680687132673","1065768680687132673")</f>
        <v>1065768680687132673</v>
      </c>
      <c r="F1122" s="11" t="s">
        <v>290</v>
      </c>
      <c r="G1122" s="11" t="s">
        <v>4488</v>
      </c>
      <c r="H1122" s="12"/>
      <c r="I1122" s="13">
        <v>16</v>
      </c>
      <c r="J1122" s="13">
        <v>22</v>
      </c>
      <c r="K1122" s="14" t="str">
        <f>HYPERLINK("http://twitter.com","Twitter Web Client")</f>
        <v>Twitter Web Client</v>
      </c>
      <c r="L1122" s="13">
        <v>35345</v>
      </c>
      <c r="M1122" s="13">
        <v>405</v>
      </c>
      <c r="N1122" s="13">
        <v>445</v>
      </c>
      <c r="O1122" s="15"/>
      <c r="P1122" s="6">
        <v>40126.858055555553</v>
      </c>
      <c r="Q1122" s="17" t="s">
        <v>40</v>
      </c>
      <c r="R1122" s="18" t="s">
        <v>276</v>
      </c>
      <c r="S1122" s="11" t="s">
        <v>278</v>
      </c>
      <c r="T1122" s="12"/>
      <c r="U1122" s="10" t="str">
        <f>HYPERLINK("https://pbs.twimg.com/profile_images/1220122823/cubahora-en-twitter.png","View")</f>
        <v>View</v>
      </c>
    </row>
    <row r="1123" spans="1:21" ht="40.799999999999997">
      <c r="A1123" s="6">
        <v>43427.073483796295</v>
      </c>
      <c r="B1123" s="7" t="str">
        <f>HYPERLINK("https://twitter.com/slaymultimedios","@slaymultimedios")</f>
        <v>@slaymultimedios</v>
      </c>
      <c r="C1123" s="8" t="s">
        <v>562</v>
      </c>
      <c r="D1123" s="9" t="s">
        <v>4489</v>
      </c>
      <c r="E1123" s="10" t="str">
        <f>HYPERLINK("https://twitter.com/slaymultimedios/status/1065768345834799104","1065768345834799104")</f>
        <v>1065768345834799104</v>
      </c>
      <c r="F1123" s="11" t="s">
        <v>4490</v>
      </c>
      <c r="G1123" s="12"/>
      <c r="H1123" s="12"/>
      <c r="I1123" s="13">
        <v>0</v>
      </c>
      <c r="J1123" s="13">
        <v>0</v>
      </c>
      <c r="K1123" s="14" t="str">
        <f>HYPERLINK("http://www.slaymultimedios.com","WebSiteSlayMultimedios")</f>
        <v>WebSiteSlayMultimedios</v>
      </c>
      <c r="L1123" s="13">
        <v>41749</v>
      </c>
      <c r="M1123" s="13">
        <v>178</v>
      </c>
      <c r="N1123" s="13">
        <v>410</v>
      </c>
      <c r="O1123" s="15"/>
      <c r="P1123" s="6">
        <v>40209.93105324074</v>
      </c>
      <c r="Q1123" s="17" t="s">
        <v>565</v>
      </c>
      <c r="R1123" s="18" t="s">
        <v>566</v>
      </c>
      <c r="S1123" s="11" t="s">
        <v>567</v>
      </c>
      <c r="T1123" s="12"/>
      <c r="U1123" s="10" t="str">
        <f>HYPERLINK("https://pbs.twimg.com/profile_images/714690465916817408/1NXaiuED.jpg","View")</f>
        <v>View</v>
      </c>
    </row>
    <row r="1124" spans="1:21" ht="40.799999999999997">
      <c r="A1124" s="6">
        <v>43427.073391203703</v>
      </c>
      <c r="B1124" s="7" t="str">
        <f>HYPERLINK("https://twitter.com/lajornadaonline","@lajornadaonline")</f>
        <v>@lajornadaonline</v>
      </c>
      <c r="C1124" s="8" t="s">
        <v>4491</v>
      </c>
      <c r="D1124" s="9" t="s">
        <v>4492</v>
      </c>
      <c r="E1124" s="10" t="str">
        <f>HYPERLINK("https://twitter.com/lajornadaonline/status/1065768313370886149","1065768313370886149")</f>
        <v>1065768313370886149</v>
      </c>
      <c r="F1124" s="11" t="s">
        <v>3789</v>
      </c>
      <c r="G1124" s="12"/>
      <c r="H1124" s="12"/>
      <c r="I1124" s="13">
        <v>7</v>
      </c>
      <c r="J1124" s="13">
        <v>9</v>
      </c>
      <c r="K1124" s="14" t="str">
        <f t="shared" ref="K1124:K1125" si="194">HYPERLINK("http://twitter.com","Twitter Web Client")</f>
        <v>Twitter Web Client</v>
      </c>
      <c r="L1124" s="13">
        <v>2157708</v>
      </c>
      <c r="M1124" s="13">
        <v>198</v>
      </c>
      <c r="N1124" s="13">
        <v>10974</v>
      </c>
      <c r="O1124" s="16" t="s">
        <v>26</v>
      </c>
      <c r="P1124" s="6">
        <v>39931.236608796295</v>
      </c>
      <c r="Q1124" s="17" t="s">
        <v>790</v>
      </c>
      <c r="R1124" s="18" t="s">
        <v>4493</v>
      </c>
      <c r="S1124" s="11" t="s">
        <v>4494</v>
      </c>
      <c r="T1124" s="12"/>
      <c r="U1124" s="10" t="str">
        <f>HYPERLINK("https://pbs.twimg.com/profile_images/588503723002834944/95acWEsy.jpg","View")</f>
        <v>View</v>
      </c>
    </row>
    <row r="1125" spans="1:21" ht="40.799999999999997">
      <c r="A1125" s="6">
        <v>43427.071747685186</v>
      </c>
      <c r="B1125" s="7" t="str">
        <f>HYPERLINK("https://twitter.com/OnCuba","@OnCuba")</f>
        <v>@OnCuba</v>
      </c>
      <c r="C1125" s="8" t="s">
        <v>1919</v>
      </c>
      <c r="D1125" s="9" t="s">
        <v>4495</v>
      </c>
      <c r="E1125" s="10" t="str">
        <f>HYPERLINK("https://twitter.com/OnCuba/status/1065767716374630400","1065767716374630400")</f>
        <v>1065767716374630400</v>
      </c>
      <c r="F1125" s="11" t="s">
        <v>4496</v>
      </c>
      <c r="G1125" s="12"/>
      <c r="H1125" s="12"/>
      <c r="I1125" s="13">
        <v>0</v>
      </c>
      <c r="J1125" s="13">
        <v>0</v>
      </c>
      <c r="K1125" s="14" t="str">
        <f t="shared" si="194"/>
        <v>Twitter Web Client</v>
      </c>
      <c r="L1125" s="13">
        <v>10755</v>
      </c>
      <c r="M1125" s="13">
        <v>348</v>
      </c>
      <c r="N1125" s="13">
        <v>124</v>
      </c>
      <c r="O1125" s="15"/>
      <c r="P1125" s="6">
        <v>40999.844884259262</v>
      </c>
      <c r="Q1125" s="17" t="s">
        <v>1923</v>
      </c>
      <c r="R1125" s="18" t="s">
        <v>1924</v>
      </c>
      <c r="S1125" s="11" t="s">
        <v>1925</v>
      </c>
      <c r="T1125" s="12"/>
      <c r="U1125" s="10" t="str">
        <f>HYPERLINK("https://pbs.twimg.com/profile_images/1049672072761409536/rYcUVOH8.jpg","View")</f>
        <v>View</v>
      </c>
    </row>
    <row r="1126" spans="1:21" ht="20.399999999999999">
      <c r="A1126" s="6">
        <v>43427.071180555555</v>
      </c>
      <c r="B1126" s="7" t="str">
        <f>HYPERLINK("https://twitter.com/NewsofCuba","@NewsofCuba")</f>
        <v>@NewsofCuba</v>
      </c>
      <c r="C1126" s="8" t="s">
        <v>4497</v>
      </c>
      <c r="D1126" s="9" t="s">
        <v>4498</v>
      </c>
      <c r="E1126" s="10" t="str">
        <f>HYPERLINK("https://twitter.com/NewsofCuba/status/1065767511050936320","1065767511050936320")</f>
        <v>1065767511050936320</v>
      </c>
      <c r="F1126" s="11" t="s">
        <v>4499</v>
      </c>
      <c r="G1126" s="12"/>
      <c r="H1126" s="12"/>
      <c r="I1126" s="13">
        <v>0</v>
      </c>
      <c r="J1126" s="13">
        <v>0</v>
      </c>
      <c r="K1126" s="14" t="str">
        <f>HYPERLINK("https://ifttt.com","IFTTT")</f>
        <v>IFTTT</v>
      </c>
      <c r="L1126" s="13">
        <v>5859</v>
      </c>
      <c r="M1126" s="13">
        <v>6526</v>
      </c>
      <c r="N1126" s="13">
        <v>25</v>
      </c>
      <c r="O1126" s="15"/>
      <c r="P1126" s="6">
        <v>40828.809583333335</v>
      </c>
      <c r="Q1126" s="17" t="s">
        <v>4500</v>
      </c>
      <c r="R1126" s="18" t="s">
        <v>4501</v>
      </c>
      <c r="S1126" s="12"/>
      <c r="T1126" s="12"/>
      <c r="U1126" s="10" t="str">
        <f>HYPERLINK("https://pbs.twimg.com/profile_images/1697289509/cuba.jpg","View")</f>
        <v>View</v>
      </c>
    </row>
    <row r="1127" spans="1:21" ht="30.6">
      <c r="A1127" s="6">
        <v>43427.070416666669</v>
      </c>
      <c r="B1127" s="7" t="str">
        <f>HYPERLINK("https://twitter.com/oscarselton","@oscarselton")</f>
        <v>@oscarselton</v>
      </c>
      <c r="C1127" s="8" t="s">
        <v>2768</v>
      </c>
      <c r="D1127" s="9" t="s">
        <v>4502</v>
      </c>
      <c r="E1127" s="10" t="str">
        <f>HYPERLINK("https://twitter.com/oscarselton/status/1065767235543855104","1065767235543855104")</f>
        <v>1065767235543855104</v>
      </c>
      <c r="F1127" s="17" t="s">
        <v>683</v>
      </c>
      <c r="G1127" s="12"/>
      <c r="H1127" s="12"/>
      <c r="I1127" s="13">
        <v>0</v>
      </c>
      <c r="J1127" s="13">
        <v>0</v>
      </c>
      <c r="K1127" s="14" t="str">
        <f>HYPERLINK("http://twitter.com/download/android","Twitter for Android")</f>
        <v>Twitter for Android</v>
      </c>
      <c r="L1127" s="13">
        <v>580</v>
      </c>
      <c r="M1127" s="13">
        <v>347</v>
      </c>
      <c r="N1127" s="13">
        <v>12</v>
      </c>
      <c r="O1127" s="15"/>
      <c r="P1127" s="6">
        <v>41237.805868055555</v>
      </c>
      <c r="Q1127" s="17" t="s">
        <v>28</v>
      </c>
      <c r="R1127" s="18" t="s">
        <v>2773</v>
      </c>
      <c r="S1127" s="12"/>
      <c r="T1127" s="12"/>
      <c r="U1127" s="10" t="str">
        <f>HYPERLINK("https://pbs.twimg.com/profile_images/2893619889/91de5f36657426da396a236e54103490.jpeg","View")</f>
        <v>View</v>
      </c>
    </row>
    <row r="1128" spans="1:21" ht="20.399999999999999">
      <c r="A1128" s="6">
        <v>43427.069247685184</v>
      </c>
      <c r="B1128" s="7" t="str">
        <f>HYPERLINK("https://twitter.com/Omar_PLC","@Omar_PLC")</f>
        <v>@Omar_PLC</v>
      </c>
      <c r="C1128" s="8" t="s">
        <v>4503</v>
      </c>
      <c r="D1128" s="9" t="s">
        <v>4504</v>
      </c>
      <c r="E1128" s="10" t="str">
        <f>HYPERLINK("https://twitter.com/Omar_PLC/status/1065766810564194304","1065766810564194304")</f>
        <v>1065766810564194304</v>
      </c>
      <c r="F1128" s="11" t="s">
        <v>4505</v>
      </c>
      <c r="G1128" s="12"/>
      <c r="H1128" s="12"/>
      <c r="I1128" s="13">
        <v>0</v>
      </c>
      <c r="J1128" s="13">
        <v>0</v>
      </c>
      <c r="K1128" s="14" t="str">
        <f>HYPERLINK("https://dlvrit.com/","dlvr.it")</f>
        <v>dlvr.it</v>
      </c>
      <c r="L1128" s="13">
        <v>7824</v>
      </c>
      <c r="M1128" s="13">
        <v>8559</v>
      </c>
      <c r="N1128" s="13">
        <v>81</v>
      </c>
      <c r="O1128" s="15"/>
      <c r="P1128" s="6">
        <v>39993.093541666669</v>
      </c>
      <c r="Q1128" s="17" t="s">
        <v>104</v>
      </c>
      <c r="R1128" s="18" t="s">
        <v>4506</v>
      </c>
      <c r="S1128" s="12"/>
      <c r="T1128" s="12"/>
      <c r="U1128" s="10" t="str">
        <f>HYPERLINK("https://pbs.twimg.com/profile_images/893638006820810753/-n89kDuz.jpg","View")</f>
        <v>View</v>
      </c>
    </row>
    <row r="1129" spans="1:21" ht="20.399999999999999">
      <c r="A1129" s="6">
        <v>43427.068506944444</v>
      </c>
      <c r="B1129" s="7" t="str">
        <f>HYPERLINK("https://twitter.com/NDtitulares","@NDtitulares")</f>
        <v>@NDtitulares</v>
      </c>
      <c r="C1129" s="8" t="s">
        <v>4166</v>
      </c>
      <c r="D1129" s="9" t="s">
        <v>3190</v>
      </c>
      <c r="E1129" s="10" t="str">
        <f>HYPERLINK("https://twitter.com/NDtitulares/status/1065766544070729728","1065766544070729728")</f>
        <v>1065766544070729728</v>
      </c>
      <c r="F1129" s="11" t="s">
        <v>3191</v>
      </c>
      <c r="G1129" s="11" t="s">
        <v>4507</v>
      </c>
      <c r="H1129" s="12"/>
      <c r="I1129" s="13">
        <v>1</v>
      </c>
      <c r="J1129" s="13">
        <v>0</v>
      </c>
      <c r="K1129" s="14" t="str">
        <f>HYPERLINK("http://www.noticierodigital.com","PublicarTuitsDesdeWP")</f>
        <v>PublicarTuitsDesdeWP</v>
      </c>
      <c r="L1129" s="13">
        <v>717211</v>
      </c>
      <c r="M1129" s="13">
        <v>1611</v>
      </c>
      <c r="N1129" s="13">
        <v>3756</v>
      </c>
      <c r="O1129" s="15"/>
      <c r="P1129" s="6">
        <v>39930.715879629628</v>
      </c>
      <c r="Q1129" s="17" t="s">
        <v>104</v>
      </c>
      <c r="R1129" s="18" t="s">
        <v>4167</v>
      </c>
      <c r="S1129" s="11" t="s">
        <v>4168</v>
      </c>
      <c r="T1129" s="12"/>
      <c r="U1129" s="10" t="str">
        <f>HYPERLINK("https://pbs.twimg.com/profile_images/875451743815053313/Xr2jDG9I.jpg","View")</f>
        <v>View</v>
      </c>
    </row>
    <row r="1130" spans="1:21" ht="40.799999999999997">
      <c r="A1130" s="6">
        <v>43427.068078703705</v>
      </c>
      <c r="B1130" s="7" t="str">
        <f>HYPERLINK("https://twitter.com/ENTORNOi","@ENTORNOi")</f>
        <v>@ENTORNOi</v>
      </c>
      <c r="C1130" s="8" t="s">
        <v>4208</v>
      </c>
      <c r="D1130" s="9" t="s">
        <v>1334</v>
      </c>
      <c r="E1130" s="10" t="str">
        <f>HYPERLINK("https://twitter.com/ENTORNOi/status/1065766387887464448","1065766387887464448")</f>
        <v>1065766387887464448</v>
      </c>
      <c r="F1130" s="11" t="s">
        <v>4508</v>
      </c>
      <c r="G1130" s="11" t="s">
        <v>4509</v>
      </c>
      <c r="H1130" s="12"/>
      <c r="I1130" s="13">
        <v>0</v>
      </c>
      <c r="J1130" s="13">
        <v>0</v>
      </c>
      <c r="K1130" s="14" t="str">
        <f>HYPERLINK("http://www.entornointeligente.com","NuevoATENTORNOI")</f>
        <v>NuevoATENTORNOI</v>
      </c>
      <c r="L1130" s="13">
        <v>133521</v>
      </c>
      <c r="M1130" s="13">
        <v>41381</v>
      </c>
      <c r="N1130" s="13">
        <v>1277</v>
      </c>
      <c r="O1130" s="15"/>
      <c r="P1130" s="6">
        <v>39994.083645833336</v>
      </c>
      <c r="Q1130" s="17" t="s">
        <v>104</v>
      </c>
      <c r="R1130" s="18" t="s">
        <v>4211</v>
      </c>
      <c r="S1130" s="11" t="s">
        <v>4212</v>
      </c>
      <c r="T1130" s="12"/>
      <c r="U1130" s="10" t="str">
        <f>HYPERLINK("https://pbs.twimg.com/profile_images/378800000572518035/83ae37ca851b262228997e87ebfcf97c.png","View")</f>
        <v>View</v>
      </c>
    </row>
    <row r="1131" spans="1:21" ht="61.2">
      <c r="A1131" s="6">
        <v>43427.067812499998</v>
      </c>
      <c r="B1131" s="7" t="str">
        <f>HYPERLINK("https://twitter.com/CNCTVGranma","@CNCTVGranma")</f>
        <v>@CNCTVGranma</v>
      </c>
      <c r="C1131" s="8" t="s">
        <v>4510</v>
      </c>
      <c r="D1131" s="9" t="s">
        <v>4511</v>
      </c>
      <c r="E1131" s="10" t="str">
        <f>HYPERLINK("https://twitter.com/CNCTVGranma/status/1065766289560477703","1065766289560477703")</f>
        <v>1065766289560477703</v>
      </c>
      <c r="F1131" s="11" t="s">
        <v>4512</v>
      </c>
      <c r="G1131" s="11" t="s">
        <v>4513</v>
      </c>
      <c r="H1131" s="12"/>
      <c r="I1131" s="13">
        <v>2</v>
      </c>
      <c r="J1131" s="13">
        <v>0</v>
      </c>
      <c r="K1131" s="14" t="str">
        <f>HYPERLINK("https://mobile.twitter.com","Twitter Lite")</f>
        <v>Twitter Lite</v>
      </c>
      <c r="L1131" s="13">
        <v>7566</v>
      </c>
      <c r="M1131" s="13">
        <v>2254</v>
      </c>
      <c r="N1131" s="13">
        <v>98</v>
      </c>
      <c r="O1131" s="15"/>
      <c r="P1131" s="6">
        <v>40462.625717592593</v>
      </c>
      <c r="Q1131" s="17" t="s">
        <v>4514</v>
      </c>
      <c r="R1131" s="18" t="s">
        <v>4515</v>
      </c>
      <c r="S1131" s="11" t="s">
        <v>4516</v>
      </c>
      <c r="T1131" s="12"/>
      <c r="U1131" s="10" t="str">
        <f>HYPERLINK("https://pbs.twimg.com/profile_images/806162202197639168/A7MJLg8R.jpg","View")</f>
        <v>View</v>
      </c>
    </row>
    <row r="1132" spans="1:21" ht="20.399999999999999">
      <c r="A1132" s="6">
        <v>43427.066192129627</v>
      </c>
      <c r="B1132" s="7" t="str">
        <f>HYPERLINK("https://twitter.com/Angelodelaqua","@Angelodelaqua")</f>
        <v>@Angelodelaqua</v>
      </c>
      <c r="C1132" s="8" t="s">
        <v>4517</v>
      </c>
      <c r="D1132" s="9" t="s">
        <v>3630</v>
      </c>
      <c r="E1132" s="10" t="str">
        <f>HYPERLINK("https://twitter.com/Angelodelaqua/status/1065765704069259264","1065765704069259264")</f>
        <v>1065765704069259264</v>
      </c>
      <c r="F1132" s="11" t="s">
        <v>3631</v>
      </c>
      <c r="G1132" s="12"/>
      <c r="H1132" s="12"/>
      <c r="I1132" s="13">
        <v>0</v>
      </c>
      <c r="J1132" s="13">
        <v>0</v>
      </c>
      <c r="K1132" s="14" t="str">
        <f>HYPERLINK("http://twitter.com/download/android","Twitter for Android")</f>
        <v>Twitter for Android</v>
      </c>
      <c r="L1132" s="13">
        <v>64</v>
      </c>
      <c r="M1132" s="13">
        <v>228</v>
      </c>
      <c r="N1132" s="13">
        <v>0</v>
      </c>
      <c r="O1132" s="15"/>
      <c r="P1132" s="6">
        <v>40875.171458333338</v>
      </c>
      <c r="Q1132" s="17" t="s">
        <v>4518</v>
      </c>
      <c r="R1132" s="19"/>
      <c r="S1132" s="12"/>
      <c r="T1132" s="12"/>
      <c r="U1132" s="10" t="str">
        <f>HYPERLINK("https://pbs.twimg.com/profile_images/1030206101009182720/bk9vwhPV.jpg","View")</f>
        <v>View</v>
      </c>
    </row>
    <row r="1133" spans="1:21" ht="40.799999999999997">
      <c r="A1133" s="6">
        <v>43427.066134259258</v>
      </c>
      <c r="B1133" s="7" t="str">
        <f>HYPERLINK("https://twitter.com/CanalCaribeCuba","@CanalCaribeCuba")</f>
        <v>@CanalCaribeCuba</v>
      </c>
      <c r="C1133" s="8" t="s">
        <v>4298</v>
      </c>
      <c r="D1133" s="9" t="s">
        <v>4519</v>
      </c>
      <c r="E1133" s="10" t="str">
        <f>HYPERLINK("https://twitter.com/CanalCaribeCuba/status/1065765681835065350","1065765681835065350")</f>
        <v>1065765681835065350</v>
      </c>
      <c r="F1133" s="11" t="s">
        <v>4520</v>
      </c>
      <c r="G1133" s="12"/>
      <c r="H1133" s="12"/>
      <c r="I1133" s="13">
        <v>0</v>
      </c>
      <c r="J1133" s="13">
        <v>0</v>
      </c>
      <c r="K1133" s="14" t="str">
        <f>HYPERLINK("https://www.google.com/","Google")</f>
        <v>Google</v>
      </c>
      <c r="L1133" s="13">
        <v>2210</v>
      </c>
      <c r="M1133" s="13">
        <v>108</v>
      </c>
      <c r="N1133" s="13">
        <v>35</v>
      </c>
      <c r="O1133" s="15"/>
      <c r="P1133" s="6">
        <v>42532.872592592597</v>
      </c>
      <c r="Q1133" s="17" t="s">
        <v>40</v>
      </c>
      <c r="R1133" s="18" t="s">
        <v>4301</v>
      </c>
      <c r="S1133" s="11" t="s">
        <v>4302</v>
      </c>
      <c r="T1133" s="12"/>
      <c r="U1133" s="10" t="str">
        <f>HYPERLINK("https://pbs.twimg.com/profile_images/1047841365399199744/y6YifkLE.jpg","View")</f>
        <v>View</v>
      </c>
    </row>
    <row r="1134" spans="1:21" ht="40.799999999999997">
      <c r="A1134" s="6">
        <v>43427.066087962958</v>
      </c>
      <c r="B1134" s="7" t="str">
        <f>HYPERLINK("https://twitter.com/JCSura","@JCSura")</f>
        <v>@JCSura</v>
      </c>
      <c r="C1134" s="8" t="s">
        <v>4521</v>
      </c>
      <c r="D1134" s="9" t="s">
        <v>4504</v>
      </c>
      <c r="E1134" s="10" t="str">
        <f>HYPERLINK("https://twitter.com/JCSura/status/1065765666219847680","1065765666219847680")</f>
        <v>1065765666219847680</v>
      </c>
      <c r="F1134" s="11" t="s">
        <v>4522</v>
      </c>
      <c r="G1134" s="12"/>
      <c r="H1134" s="12"/>
      <c r="I1134" s="13">
        <v>0</v>
      </c>
      <c r="J1134" s="13">
        <v>0</v>
      </c>
      <c r="K1134" s="14" t="str">
        <f>HYPERLINK("http://www.lknsuite.com/","lknSuite App")</f>
        <v>lknSuite App</v>
      </c>
      <c r="L1134" s="13">
        <v>7853</v>
      </c>
      <c r="M1134" s="13">
        <v>699</v>
      </c>
      <c r="N1134" s="13">
        <v>175</v>
      </c>
      <c r="O1134" s="15"/>
      <c r="P1134" s="6">
        <v>39904.607858796298</v>
      </c>
      <c r="Q1134" s="17" t="s">
        <v>4523</v>
      </c>
      <c r="R1134" s="18" t="s">
        <v>4524</v>
      </c>
      <c r="S1134" s="11" t="s">
        <v>4525</v>
      </c>
      <c r="T1134" s="12"/>
      <c r="U1134" s="10" t="str">
        <f>HYPERLINK("https://pbs.twimg.com/profile_images/827568259465555968/4MROd4Dr.jpg","View")</f>
        <v>View</v>
      </c>
    </row>
    <row r="1135" spans="1:21" ht="20.399999999999999">
      <c r="A1135" s="6">
        <v>43427.065011574072</v>
      </c>
      <c r="B1135" s="7" t="str">
        <f>HYPERLINK("https://twitter.com/adriaizard","@adriaizard")</f>
        <v>@adriaizard</v>
      </c>
      <c r="C1135" s="8" t="s">
        <v>4526</v>
      </c>
      <c r="D1135" s="9" t="s">
        <v>4527</v>
      </c>
      <c r="E1135" s="10" t="str">
        <f>HYPERLINK("https://twitter.com/adriaizard/status/1065765277013602304","1065765277013602304")</f>
        <v>1065765277013602304</v>
      </c>
      <c r="F1135" s="11" t="s">
        <v>4528</v>
      </c>
      <c r="G1135" s="12"/>
      <c r="H1135" s="12"/>
      <c r="I1135" s="13">
        <v>0</v>
      </c>
      <c r="J1135" s="13">
        <v>0</v>
      </c>
      <c r="K1135" s="14" t="str">
        <f t="shared" ref="K1135:K1136" si="195">HYPERLINK("http://twitter.com","Twitter Web Client")</f>
        <v>Twitter Web Client</v>
      </c>
      <c r="L1135" s="13">
        <v>516</v>
      </c>
      <c r="M1135" s="13">
        <v>1038</v>
      </c>
      <c r="N1135" s="13">
        <v>13</v>
      </c>
      <c r="O1135" s="15"/>
      <c r="P1135" s="6">
        <v>39971.745763888888</v>
      </c>
      <c r="Q1135" s="17" t="s">
        <v>839</v>
      </c>
      <c r="R1135" s="18" t="s">
        <v>4529</v>
      </c>
      <c r="S1135" s="12"/>
      <c r="T1135" s="12"/>
      <c r="U1135" s="10" t="str">
        <f>HYPERLINK("https://pbs.twimg.com/profile_images/964678541781716992/IMDXHgWW.jpg","View")</f>
        <v>View</v>
      </c>
    </row>
    <row r="1136" spans="1:21" ht="30.6">
      <c r="A1136" s="6">
        <v>43427.064930555556</v>
      </c>
      <c r="B1136" s="7" t="str">
        <f>HYPERLINK("https://twitter.com/osvald01guz","@osvald01guz")</f>
        <v>@osvald01guz</v>
      </c>
      <c r="C1136" s="8" t="s">
        <v>4530</v>
      </c>
      <c r="D1136" s="9" t="s">
        <v>162</v>
      </c>
      <c r="E1136" s="10" t="str">
        <f>HYPERLINK("https://twitter.com/osvald01guz/status/1065765245686374402","1065765245686374402")</f>
        <v>1065765245686374402</v>
      </c>
      <c r="F1136" s="11" t="s">
        <v>163</v>
      </c>
      <c r="G1136" s="12"/>
      <c r="H1136" s="12"/>
      <c r="I1136" s="13">
        <v>0</v>
      </c>
      <c r="J1136" s="13">
        <v>0</v>
      </c>
      <c r="K1136" s="14" t="str">
        <f t="shared" si="195"/>
        <v>Twitter Web Client</v>
      </c>
      <c r="L1136" s="13">
        <v>2281</v>
      </c>
      <c r="M1136" s="13">
        <v>2023</v>
      </c>
      <c r="N1136" s="13">
        <v>14</v>
      </c>
      <c r="O1136" s="15"/>
      <c r="P1136" s="6">
        <v>40580.81622685185</v>
      </c>
      <c r="Q1136" s="17" t="s">
        <v>4531</v>
      </c>
      <c r="R1136" s="18" t="s">
        <v>4532</v>
      </c>
      <c r="S1136" s="12"/>
      <c r="T1136" s="12"/>
      <c r="U1136" s="10" t="str">
        <f>HYPERLINK("https://pbs.twimg.com/profile_images/1055915379493609472/7Xu5en9D.jpg","View")</f>
        <v>View</v>
      </c>
    </row>
    <row r="1137" spans="1:21" ht="40.799999999999997">
      <c r="A1137" s="6">
        <v>43427.06486111111</v>
      </c>
      <c r="B1137" s="7" t="str">
        <f>HYPERLINK("https://twitter.com/areksubnormal","@areksubnormal")</f>
        <v>@areksubnormal</v>
      </c>
      <c r="C1137" s="8" t="s">
        <v>4533</v>
      </c>
      <c r="D1137" s="9" t="s">
        <v>4534</v>
      </c>
      <c r="E1137" s="10" t="str">
        <f>HYPERLINK("https://twitter.com/areksubnormal/status/1065765219933306885","1065765219933306885")</f>
        <v>1065765219933306885</v>
      </c>
      <c r="F1137" s="12"/>
      <c r="G1137" s="12"/>
      <c r="H1137" s="12"/>
      <c r="I1137" s="13">
        <v>0</v>
      </c>
      <c r="J1137" s="13">
        <v>0</v>
      </c>
      <c r="K1137" s="14" t="str">
        <f>HYPERLINK("http://muzskaretrasado.com","fav si me quieres")</f>
        <v>fav si me quieres</v>
      </c>
      <c r="L1137" s="13">
        <v>91</v>
      </c>
      <c r="M1137" s="13">
        <v>0</v>
      </c>
      <c r="N1137" s="13">
        <v>6</v>
      </c>
      <c r="O1137" s="15"/>
      <c r="P1137" s="6">
        <v>42579.023020833338</v>
      </c>
      <c r="Q1137" s="12"/>
      <c r="R1137" s="18" t="s">
        <v>4535</v>
      </c>
      <c r="S1137" s="12"/>
      <c r="T1137" s="12"/>
      <c r="U1137" s="10" t="str">
        <f>HYPERLINK("https://pbs.twimg.com/profile_images/758430812366893056/hdYGnUDO.jpg","View")</f>
        <v>View</v>
      </c>
    </row>
    <row r="1138" spans="1:21" ht="20.399999999999999">
      <c r="A1138" s="6">
        <v>43427.06450231481</v>
      </c>
      <c r="B1138" s="7" t="str">
        <f>HYPERLINK("https://twitter.com/alexisfagundez","@alexisfagundez")</f>
        <v>@alexisfagundez</v>
      </c>
      <c r="C1138" s="8" t="s">
        <v>4536</v>
      </c>
      <c r="D1138" s="9" t="s">
        <v>4504</v>
      </c>
      <c r="E1138" s="10" t="str">
        <f>HYPERLINK("https://twitter.com/alexisfagundez/status/1065765092195749888","1065765092195749888")</f>
        <v>1065765092195749888</v>
      </c>
      <c r="F1138" s="11" t="s">
        <v>4537</v>
      </c>
      <c r="G1138" s="12"/>
      <c r="H1138" s="12"/>
      <c r="I1138" s="13">
        <v>0</v>
      </c>
      <c r="J1138" s="13">
        <v>0</v>
      </c>
      <c r="K1138" s="14" t="str">
        <f>HYPERLINK("http://sinproject.net/tweecha/","tweecha for android")</f>
        <v>tweecha for android</v>
      </c>
      <c r="L1138" s="13">
        <v>3930</v>
      </c>
      <c r="M1138" s="13">
        <v>4020</v>
      </c>
      <c r="N1138" s="13">
        <v>29</v>
      </c>
      <c r="O1138" s="15"/>
      <c r="P1138" s="6">
        <v>40262.715624999997</v>
      </c>
      <c r="Q1138" s="17" t="s">
        <v>702</v>
      </c>
      <c r="R1138" s="18" t="s">
        <v>4538</v>
      </c>
      <c r="S1138" s="12"/>
      <c r="T1138" s="12"/>
      <c r="U1138" s="10" t="str">
        <f>HYPERLINK("https://pbs.twimg.com/profile_images/949446738133372928/V6z6rHxv.jpg","View")</f>
        <v>View</v>
      </c>
    </row>
    <row r="1139" spans="1:21" ht="30.6">
      <c r="A1139" s="6">
        <v>43427.064432870371</v>
      </c>
      <c r="B1139" s="7" t="str">
        <f>HYPERLINK("https://twitter.com/Granma_Digital","@Granma_Digital")</f>
        <v>@Granma_Digital</v>
      </c>
      <c r="C1139" s="8" t="s">
        <v>4539</v>
      </c>
      <c r="D1139" s="9" t="s">
        <v>4540</v>
      </c>
      <c r="E1139" s="10" t="str">
        <f>HYPERLINK("https://twitter.com/Granma_Digital/status/1065765066300170240","1065765066300170240")</f>
        <v>1065765066300170240</v>
      </c>
      <c r="F1139" s="11" t="s">
        <v>4541</v>
      </c>
      <c r="G1139" s="11" t="s">
        <v>4542</v>
      </c>
      <c r="H1139" s="12"/>
      <c r="I1139" s="13">
        <v>10</v>
      </c>
      <c r="J1139" s="13">
        <v>18</v>
      </c>
      <c r="K1139" s="14" t="str">
        <f t="shared" ref="K1139:K1140" si="196">HYPERLINK("http://twitter.com","Twitter Web Client")</f>
        <v>Twitter Web Client</v>
      </c>
      <c r="L1139" s="13">
        <v>141115</v>
      </c>
      <c r="M1139" s="13">
        <v>204</v>
      </c>
      <c r="N1139" s="13">
        <v>1777</v>
      </c>
      <c r="O1139" s="15"/>
      <c r="P1139" s="6">
        <v>40192.908460648148</v>
      </c>
      <c r="Q1139" s="17" t="s">
        <v>40</v>
      </c>
      <c r="R1139" s="18" t="s">
        <v>4543</v>
      </c>
      <c r="S1139" s="11" t="s">
        <v>4544</v>
      </c>
      <c r="T1139" s="12"/>
      <c r="U1139" s="10" t="str">
        <f>HYPERLINK("https://pbs.twimg.com/profile_images/812055630647177216/ZMJtpzvZ.jpg","View")</f>
        <v>View</v>
      </c>
    </row>
    <row r="1140" spans="1:21" ht="30.6">
      <c r="A1140" s="6">
        <v>43427.063692129625</v>
      </c>
      <c r="B1140" s="7" t="str">
        <f>HYPERLINK("https://twitter.com/den_vilda","@den_vilda")</f>
        <v>@den_vilda</v>
      </c>
      <c r="C1140" s="8" t="s">
        <v>4545</v>
      </c>
      <c r="D1140" s="9" t="s">
        <v>4546</v>
      </c>
      <c r="E1140" s="10" t="str">
        <f>HYPERLINK("https://twitter.com/den_vilda/status/1065764799714332672","1065764799714332672")</f>
        <v>1065764799714332672</v>
      </c>
      <c r="F1140" s="12"/>
      <c r="G1140" s="12"/>
      <c r="H1140" s="12"/>
      <c r="I1140" s="13">
        <v>0</v>
      </c>
      <c r="J1140" s="13">
        <v>0</v>
      </c>
      <c r="K1140" s="14" t="str">
        <f t="shared" si="196"/>
        <v>Twitter Web Client</v>
      </c>
      <c r="L1140" s="13">
        <v>1405</v>
      </c>
      <c r="M1140" s="13">
        <v>1311</v>
      </c>
      <c r="N1140" s="13">
        <v>28</v>
      </c>
      <c r="O1140" s="15"/>
      <c r="P1140" s="6">
        <v>41120.777581018519</v>
      </c>
      <c r="Q1140" s="17" t="s">
        <v>1692</v>
      </c>
      <c r="R1140" s="18" t="s">
        <v>4547</v>
      </c>
      <c r="S1140" s="11" t="s">
        <v>4548</v>
      </c>
      <c r="T1140" s="12"/>
      <c r="U1140" s="10" t="str">
        <f>HYPERLINK("https://pbs.twimg.com/profile_images/1064668632922447872/JC1UcPwl.jpg","View")</f>
        <v>View</v>
      </c>
    </row>
    <row r="1141" spans="1:21" ht="30.6">
      <c r="A1141" s="6">
        <v>43427.063668981486</v>
      </c>
      <c r="B1141" s="7" t="str">
        <f>HYPERLINK("https://twitter.com/periodicovzlano","@periodicovzlano")</f>
        <v>@periodicovzlano</v>
      </c>
      <c r="C1141" s="8" t="s">
        <v>97</v>
      </c>
      <c r="D1141" s="9" t="s">
        <v>98</v>
      </c>
      <c r="E1141" s="10" t="str">
        <f>HYPERLINK("https://twitter.com/periodicovzlano/status/1065764787919966208","1065764787919966208")</f>
        <v>1065764787919966208</v>
      </c>
      <c r="F1141" s="11" t="s">
        <v>99</v>
      </c>
      <c r="G1141" s="11" t="s">
        <v>4549</v>
      </c>
      <c r="H1141" s="12"/>
      <c r="I1141" s="13">
        <v>0</v>
      </c>
      <c r="J1141" s="13">
        <v>1</v>
      </c>
      <c r="K1141" s="14" t="str">
        <f>HYPERLINK("http://epmundo.com","Tuiteo TOP EP (1)")</f>
        <v>Tuiteo TOP EP (1)</v>
      </c>
      <c r="L1141" s="13">
        <v>479592</v>
      </c>
      <c r="M1141" s="13">
        <v>359153</v>
      </c>
      <c r="N1141" s="13">
        <v>1296</v>
      </c>
      <c r="O1141" s="15"/>
      <c r="P1141" s="6">
        <v>40663.3512962963</v>
      </c>
      <c r="Q1141" s="17" t="s">
        <v>104</v>
      </c>
      <c r="R1141" s="18" t="s">
        <v>105</v>
      </c>
      <c r="S1141" s="11" t="s">
        <v>106</v>
      </c>
      <c r="T1141" s="12"/>
      <c r="U1141" s="10" t="str">
        <f>HYPERLINK("https://pbs.twimg.com/profile_images/958328579250638849/MCz7Q8U6.jpg","View")</f>
        <v>View</v>
      </c>
    </row>
    <row r="1142" spans="1:21" ht="30.6">
      <c r="A1142" s="6">
        <v>43427.063217592593</v>
      </c>
      <c r="B1142" s="7" t="str">
        <f>HYPERLINK("https://twitter.com/Xuxipc","@Xuxipc")</f>
        <v>@Xuxipc</v>
      </c>
      <c r="C1142" s="8" t="s">
        <v>4550</v>
      </c>
      <c r="D1142" s="9" t="s">
        <v>4551</v>
      </c>
      <c r="E1142" s="10" t="str">
        <f>HYPERLINK("https://twitter.com/Xuxipc/status/1065764628205051904","1065764628205051904")</f>
        <v>1065764628205051904</v>
      </c>
      <c r="F1142" s="12"/>
      <c r="G1142" s="12"/>
      <c r="H1142" s="12"/>
      <c r="I1142" s="13">
        <v>22</v>
      </c>
      <c r="J1142" s="13">
        <v>80</v>
      </c>
      <c r="K1142" s="14" t="str">
        <f>HYPERLINK("http://twitter.com/download/android","Twitter for Android")</f>
        <v>Twitter for Android</v>
      </c>
      <c r="L1142" s="13">
        <v>182356</v>
      </c>
      <c r="M1142" s="13">
        <v>280</v>
      </c>
      <c r="N1142" s="13">
        <v>1244</v>
      </c>
      <c r="O1142" s="15"/>
      <c r="P1142" s="6">
        <v>41297.668078703704</v>
      </c>
      <c r="Q1142" s="17" t="s">
        <v>4552</v>
      </c>
      <c r="R1142" s="18" t="s">
        <v>4553</v>
      </c>
      <c r="S1142" s="11" t="s">
        <v>4554</v>
      </c>
      <c r="T1142" s="12"/>
      <c r="U1142" s="10" t="str">
        <f>HYPERLINK("https://pbs.twimg.com/profile_images/1060442492217290752/p4rkMs-Y.jpg","View")</f>
        <v>View</v>
      </c>
    </row>
    <row r="1143" spans="1:21" ht="51">
      <c r="A1143" s="6">
        <v>43427.061747685184</v>
      </c>
      <c r="B1143" s="7" t="str">
        <f>HYPERLINK("https://twitter.com/tanyarrelojcuba","@tanyarrelojcuba")</f>
        <v>@tanyarrelojcuba</v>
      </c>
      <c r="C1143" s="8" t="s">
        <v>4555</v>
      </c>
      <c r="D1143" s="9" t="s">
        <v>4556</v>
      </c>
      <c r="E1143" s="10" t="str">
        <f>HYPERLINK("https://twitter.com/tanyarrelojcuba/status/1065764093703987200","1065764093703987200")</f>
        <v>1065764093703987200</v>
      </c>
      <c r="F1143" s="12"/>
      <c r="G1143" s="12"/>
      <c r="H1143" s="12"/>
      <c r="I1143" s="13">
        <v>1</v>
      </c>
      <c r="J1143" s="13">
        <v>1</v>
      </c>
      <c r="K1143" s="14" t="str">
        <f t="shared" ref="K1143:K1145" si="197">HYPERLINK("http://twitter.com","Twitter Web Client")</f>
        <v>Twitter Web Client</v>
      </c>
      <c r="L1143" s="13">
        <v>518</v>
      </c>
      <c r="M1143" s="13">
        <v>940</v>
      </c>
      <c r="N1143" s="13">
        <v>2</v>
      </c>
      <c r="O1143" s="15"/>
      <c r="P1143" s="6">
        <v>41674.890069444446</v>
      </c>
      <c r="Q1143" s="17" t="s">
        <v>40</v>
      </c>
      <c r="R1143" s="18" t="s">
        <v>4557</v>
      </c>
      <c r="S1143" s="12"/>
      <c r="T1143" s="12"/>
      <c r="U1143" s="10" t="str">
        <f>HYPERLINK("https://pbs.twimg.com/profile_images/1040245887648247809/xcc5gmUP.jpg","View")</f>
        <v>View</v>
      </c>
    </row>
    <row r="1144" spans="1:21" ht="51">
      <c r="A1144" s="6">
        <v>43427.060995370368</v>
      </c>
      <c r="B1144" s="7" t="str">
        <f>HYPERLINK("https://twitter.com/CUBAH0RA","@CUBAH0RA")</f>
        <v>@CUBAH0RA</v>
      </c>
      <c r="C1144" s="8" t="s">
        <v>272</v>
      </c>
      <c r="D1144" s="9" t="s">
        <v>289</v>
      </c>
      <c r="E1144" s="10" t="str">
        <f>HYPERLINK("https://twitter.com/CUBAH0RA/status/1065763822701592576","1065763822701592576")</f>
        <v>1065763822701592576</v>
      </c>
      <c r="F1144" s="11" t="s">
        <v>290</v>
      </c>
      <c r="G1144" s="11" t="s">
        <v>282</v>
      </c>
      <c r="H1144" s="12"/>
      <c r="I1144" s="13">
        <v>24</v>
      </c>
      <c r="J1144" s="13">
        <v>30</v>
      </c>
      <c r="K1144" s="14" t="str">
        <f t="shared" si="197"/>
        <v>Twitter Web Client</v>
      </c>
      <c r="L1144" s="13">
        <v>35345</v>
      </c>
      <c r="M1144" s="13">
        <v>405</v>
      </c>
      <c r="N1144" s="13">
        <v>445</v>
      </c>
      <c r="O1144" s="15"/>
      <c r="P1144" s="6">
        <v>40126.858055555553</v>
      </c>
      <c r="Q1144" s="17" t="s">
        <v>40</v>
      </c>
      <c r="R1144" s="18" t="s">
        <v>276</v>
      </c>
      <c r="S1144" s="11" t="s">
        <v>278</v>
      </c>
      <c r="T1144" s="12"/>
      <c r="U1144" s="10" t="str">
        <f>HYPERLINK("https://pbs.twimg.com/profile_images/1220122823/cubahora-en-twitter.png","View")</f>
        <v>View</v>
      </c>
    </row>
    <row r="1145" spans="1:21" ht="40.799999999999997">
      <c r="A1145" s="6">
        <v>43427.060532407406</v>
      </c>
      <c r="B1145" s="7" t="str">
        <f>HYPERLINK("https://twitter.com/Canal_Z_","@Canal_Z_")</f>
        <v>@Canal_Z_</v>
      </c>
      <c r="C1145" s="8" t="s">
        <v>4320</v>
      </c>
      <c r="D1145" s="9" t="s">
        <v>4558</v>
      </c>
      <c r="E1145" s="10" t="str">
        <f>HYPERLINK("https://twitter.com/Canal_Z_/status/1065763653075562497","1065763653075562497")</f>
        <v>1065763653075562497</v>
      </c>
      <c r="F1145" s="11" t="s">
        <v>2375</v>
      </c>
      <c r="G1145" s="11" t="s">
        <v>4559</v>
      </c>
      <c r="H1145" s="12"/>
      <c r="I1145" s="13">
        <v>0</v>
      </c>
      <c r="J1145" s="13">
        <v>0</v>
      </c>
      <c r="K1145" s="14" t="str">
        <f t="shared" si="197"/>
        <v>Twitter Web Client</v>
      </c>
      <c r="L1145" s="13">
        <v>2272</v>
      </c>
      <c r="M1145" s="13">
        <v>4991</v>
      </c>
      <c r="N1145" s="13">
        <v>6</v>
      </c>
      <c r="O1145" s="15"/>
      <c r="P1145" s="6">
        <v>41462.275254629625</v>
      </c>
      <c r="Q1145" s="17" t="s">
        <v>28</v>
      </c>
      <c r="R1145" s="18" t="s">
        <v>4322</v>
      </c>
      <c r="S1145" s="12"/>
      <c r="T1145" s="12"/>
      <c r="U1145" s="10" t="str">
        <f>HYPERLINK("https://pbs.twimg.com/profile_images/1008407123242422272/aENpWjy6.jpg","View")</f>
        <v>View</v>
      </c>
    </row>
    <row r="1146" spans="1:21" ht="20.399999999999999">
      <c r="A1146" s="6">
        <v>43427.059467592597</v>
      </c>
      <c r="B1146" s="7" t="str">
        <f>HYPERLINK("https://twitter.com/IALHAMAI","@IALHAMAI")</f>
        <v>@IALHAMAI</v>
      </c>
      <c r="C1146" s="8" t="s">
        <v>4560</v>
      </c>
      <c r="D1146" s="9" t="s">
        <v>4561</v>
      </c>
      <c r="E1146" s="10" t="str">
        <f>HYPERLINK("https://twitter.com/IALHAMAI/status/1065763269082791936","1065763269082791936")</f>
        <v>1065763269082791936</v>
      </c>
      <c r="F1146" s="11" t="s">
        <v>3789</v>
      </c>
      <c r="G1146" s="12"/>
      <c r="H1146" s="12"/>
      <c r="I1146" s="13">
        <v>0</v>
      </c>
      <c r="J1146" s="13">
        <v>0</v>
      </c>
      <c r="K1146" s="14" t="str">
        <f>HYPERLINK("http://www.facebook.com/twitter","Facebook")</f>
        <v>Facebook</v>
      </c>
      <c r="L1146" s="13">
        <v>276</v>
      </c>
      <c r="M1146" s="13">
        <v>230</v>
      </c>
      <c r="N1146" s="13">
        <v>8</v>
      </c>
      <c r="O1146" s="15"/>
      <c r="P1146" s="6">
        <v>40473.872835648144</v>
      </c>
      <c r="Q1146" s="12"/>
      <c r="R1146" s="19"/>
      <c r="S1146" s="11" t="s">
        <v>4562</v>
      </c>
      <c r="T1146" s="12"/>
      <c r="U1146" s="10" t="str">
        <f>HYPERLINK("https://pbs.twimg.com/profile_images/1150326158/iai-logo.jpg","View")</f>
        <v>View</v>
      </c>
    </row>
    <row r="1147" spans="1:21" ht="30.6">
      <c r="A1147" s="6">
        <v>43427.057314814811</v>
      </c>
      <c r="B1147" s="7" t="str">
        <f>HYPERLINK("https://twitter.com/radiocienfuegos","@radiocienfuegos")</f>
        <v>@radiocienfuegos</v>
      </c>
      <c r="C1147" s="8" t="s">
        <v>2877</v>
      </c>
      <c r="D1147" s="9" t="s">
        <v>4563</v>
      </c>
      <c r="E1147" s="10" t="str">
        <f>HYPERLINK("https://twitter.com/radiocienfuegos/status/1065762488367616000","1065762488367616000")</f>
        <v>1065762488367616000</v>
      </c>
      <c r="F1147" s="11" t="s">
        <v>4564</v>
      </c>
      <c r="G1147" s="12"/>
      <c r="H1147" s="12"/>
      <c r="I1147" s="13">
        <v>0</v>
      </c>
      <c r="J1147" s="13">
        <v>0</v>
      </c>
      <c r="K1147" s="14" t="str">
        <f>HYPERLINK("https://ifttt.com","IFTTT")</f>
        <v>IFTTT</v>
      </c>
      <c r="L1147" s="13">
        <v>4703</v>
      </c>
      <c r="M1147" s="13">
        <v>2074</v>
      </c>
      <c r="N1147" s="13">
        <v>61</v>
      </c>
      <c r="O1147" s="15"/>
      <c r="P1147" s="6">
        <v>40093.191284722227</v>
      </c>
      <c r="Q1147" s="17" t="s">
        <v>2883</v>
      </c>
      <c r="R1147" s="18" t="s">
        <v>2884</v>
      </c>
      <c r="S1147" s="11" t="s">
        <v>2885</v>
      </c>
      <c r="T1147" s="12"/>
      <c r="U1147" s="10" t="str">
        <f>HYPERLINK("https://pbs.twimg.com/profile_images/457069087/logo.gif","View")</f>
        <v>View</v>
      </c>
    </row>
    <row r="1148" spans="1:21" ht="20.399999999999999">
      <c r="A1148" s="6">
        <v>43427.056967592594</v>
      </c>
      <c r="B1148" s="7" t="str">
        <f>HYPERLINK("https://twitter.com/kicolegon","@kicolegon")</f>
        <v>@kicolegon</v>
      </c>
      <c r="C1148" s="8" t="s">
        <v>4565</v>
      </c>
      <c r="D1148" s="9" t="s">
        <v>4566</v>
      </c>
      <c r="E1148" s="10" t="str">
        <f>HYPERLINK("https://twitter.com/kicolegon/status/1065762360353325056","1065762360353325056")</f>
        <v>1065762360353325056</v>
      </c>
      <c r="F1148" s="11" t="s">
        <v>4567</v>
      </c>
      <c r="G1148" s="12"/>
      <c r="H1148" s="12"/>
      <c r="I1148" s="13">
        <v>1</v>
      </c>
      <c r="J1148" s="13">
        <v>0</v>
      </c>
      <c r="K1148" s="14" t="str">
        <f>HYPERLINK("http://twitter.com/download/android","Twitter for Android")</f>
        <v>Twitter for Android</v>
      </c>
      <c r="L1148" s="13">
        <v>885</v>
      </c>
      <c r="M1148" s="13">
        <v>882</v>
      </c>
      <c r="N1148" s="13">
        <v>19</v>
      </c>
      <c r="O1148" s="15"/>
      <c r="P1148" s="6">
        <v>40247.924814814818</v>
      </c>
      <c r="Q1148" s="17" t="s">
        <v>552</v>
      </c>
      <c r="R1148" s="18" t="s">
        <v>4568</v>
      </c>
      <c r="S1148" s="12"/>
      <c r="T1148" s="12"/>
      <c r="U1148" s="10" t="str">
        <f>HYPERLINK("https://pbs.twimg.com/profile_images/1048657048479715329/PceB3FOV.jpg","View")</f>
        <v>View</v>
      </c>
    </row>
    <row r="1149" spans="1:21" ht="20.399999999999999">
      <c r="A1149" s="6">
        <v>43427.05537037037</v>
      </c>
      <c r="B1149" s="7" t="str">
        <f>HYPERLINK("https://twitter.com/arjemeva","@arjemeva")</f>
        <v>@arjemeva</v>
      </c>
      <c r="C1149" s="8" t="s">
        <v>4569</v>
      </c>
      <c r="D1149" s="9" t="s">
        <v>4570</v>
      </c>
      <c r="E1149" s="10" t="str">
        <f>HYPERLINK("https://twitter.com/arjemeva/status/1065761784030740480","1065761784030740480")</f>
        <v>1065761784030740480</v>
      </c>
      <c r="F1149" s="11" t="s">
        <v>4571</v>
      </c>
      <c r="G1149" s="12"/>
      <c r="H1149" s="12"/>
      <c r="I1149" s="13">
        <v>0</v>
      </c>
      <c r="J1149" s="13">
        <v>0</v>
      </c>
      <c r="K1149" s="14" t="str">
        <f>HYPERLINK("http://twitter.com/download/iphone","Twitter for iPhone")</f>
        <v>Twitter for iPhone</v>
      </c>
      <c r="L1149" s="13">
        <v>33</v>
      </c>
      <c r="M1149" s="13">
        <v>18</v>
      </c>
      <c r="N1149" s="13">
        <v>0</v>
      </c>
      <c r="O1149" s="15"/>
      <c r="P1149" s="6">
        <v>40943.964097222226</v>
      </c>
      <c r="Q1149" s="12"/>
      <c r="R1149" s="18" t="s">
        <v>4572</v>
      </c>
      <c r="S1149" s="11" t="s">
        <v>4573</v>
      </c>
      <c r="T1149" s="12"/>
      <c r="U1149" s="10" t="str">
        <f>HYPERLINK("https://pbs.twimg.com/profile_images/1804492345/Snapshot_20100719_15.jpg","View")</f>
        <v>View</v>
      </c>
    </row>
    <row r="1150" spans="1:21" ht="40.799999999999997">
      <c r="A1150" s="6">
        <v>43427.054166666669</v>
      </c>
      <c r="B1150" s="7" t="str">
        <f>HYPERLINK("https://twitter.com/antareschileduc","@antareschileduc")</f>
        <v>@antareschileduc</v>
      </c>
      <c r="C1150" s="8" t="s">
        <v>4574</v>
      </c>
      <c r="D1150" s="9" t="s">
        <v>4575</v>
      </c>
      <c r="E1150" s="10" t="str">
        <f>HYPERLINK("https://twitter.com/antareschileduc/status/1065761348351680512","1065761348351680512")</f>
        <v>1065761348351680512</v>
      </c>
      <c r="F1150" s="11" t="s">
        <v>2375</v>
      </c>
      <c r="G1150" s="12"/>
      <c r="H1150" s="12"/>
      <c r="I1150" s="13">
        <v>0</v>
      </c>
      <c r="J1150" s="13">
        <v>0</v>
      </c>
      <c r="K1150" s="14" t="str">
        <f>HYPERLINK("http://twitter.com/download/android","Twitter for Android")</f>
        <v>Twitter for Android</v>
      </c>
      <c r="L1150" s="13">
        <v>1385</v>
      </c>
      <c r="M1150" s="13">
        <v>1335</v>
      </c>
      <c r="N1150" s="13">
        <v>3</v>
      </c>
      <c r="O1150" s="15"/>
      <c r="P1150" s="6">
        <v>40472.223969907405</v>
      </c>
      <c r="Q1150" s="17" t="s">
        <v>565</v>
      </c>
      <c r="R1150" s="18" t="s">
        <v>4576</v>
      </c>
      <c r="S1150" s="12"/>
      <c r="T1150" s="12"/>
      <c r="U1150" s="10" t="str">
        <f>HYPERLINK("https://pbs.twimg.com/profile_images/884580427989757952/va6p_3bx.jpg","View")</f>
        <v>View</v>
      </c>
    </row>
    <row r="1151" spans="1:21" ht="30.6">
      <c r="A1151" s="6">
        <v>43427.054085648153</v>
      </c>
      <c r="B1151" s="7" t="str">
        <f>HYPERLINK("https://twitter.com/elperiodico","@elperiodico")</f>
        <v>@elperiodico</v>
      </c>
      <c r="C1151" s="8" t="s">
        <v>300</v>
      </c>
      <c r="D1151" s="9" t="s">
        <v>302</v>
      </c>
      <c r="E1151" s="10" t="str">
        <f>HYPERLINK("https://twitter.com/elperiodico/status/1065761315472531457","1065761315472531457")</f>
        <v>1065761315472531457</v>
      </c>
      <c r="F1151" s="11" t="s">
        <v>305</v>
      </c>
      <c r="G1151" s="12"/>
      <c r="H1151" s="12"/>
      <c r="I1151" s="13">
        <v>2</v>
      </c>
      <c r="J1151" s="13">
        <v>4</v>
      </c>
      <c r="K1151" s="14" t="str">
        <f>HYPERLINK("https://www.elperiodico.com","El Periódico")</f>
        <v>El Periódico</v>
      </c>
      <c r="L1151" s="13">
        <v>596514</v>
      </c>
      <c r="M1151" s="13">
        <v>18498</v>
      </c>
      <c r="N1151" s="13">
        <v>6922</v>
      </c>
      <c r="O1151" s="16" t="s">
        <v>26</v>
      </c>
      <c r="P1151" s="6">
        <v>40456.539560185185</v>
      </c>
      <c r="Q1151" s="17" t="s">
        <v>191</v>
      </c>
      <c r="R1151" s="18" t="s">
        <v>308</v>
      </c>
      <c r="S1151" s="11" t="s">
        <v>309</v>
      </c>
      <c r="T1151" s="12"/>
      <c r="U1151" s="10" t="str">
        <f>HYPERLINK("https://pbs.twimg.com/profile_images/876802324135653377/s4G6oS9o.jpg","View")</f>
        <v>View</v>
      </c>
    </row>
    <row r="1152" spans="1:21" ht="40.799999999999997">
      <c r="A1152" s="6">
        <v>43427.052581018521</v>
      </c>
      <c r="B1152" s="7" t="str">
        <f>HYPERLINK("https://twitter.com/AcaymoA","@AcaymoA")</f>
        <v>@AcaymoA</v>
      </c>
      <c r="C1152" s="8" t="s">
        <v>4577</v>
      </c>
      <c r="D1152" s="9" t="s">
        <v>4578</v>
      </c>
      <c r="E1152" s="10" t="str">
        <f>HYPERLINK("https://twitter.com/AcaymoA/status/1065760772624666625","1065760772624666625")</f>
        <v>1065760772624666625</v>
      </c>
      <c r="F1152" s="12"/>
      <c r="G1152" s="12"/>
      <c r="H1152" s="12"/>
      <c r="I1152" s="13">
        <v>1</v>
      </c>
      <c r="J1152" s="13">
        <v>0</v>
      </c>
      <c r="K1152" s="14" t="str">
        <f>HYPERLINK("http://twitter.com/download/android","Twitter for Android")</f>
        <v>Twitter for Android</v>
      </c>
      <c r="L1152" s="13">
        <v>78</v>
      </c>
      <c r="M1152" s="13">
        <v>195</v>
      </c>
      <c r="N1152" s="13">
        <v>5</v>
      </c>
      <c r="O1152" s="15"/>
      <c r="P1152" s="6">
        <v>41526.836921296301</v>
      </c>
      <c r="Q1152" s="12"/>
      <c r="R1152" s="18" t="s">
        <v>4579</v>
      </c>
      <c r="S1152" s="12"/>
      <c r="T1152" s="12"/>
      <c r="U1152" s="10" t="str">
        <f>HYPERLINK("https://pbs.twimg.com/profile_images/1023913341281099778/f-bY91PF.jpg","View")</f>
        <v>View</v>
      </c>
    </row>
    <row r="1153" spans="1:21" ht="40.799999999999997">
      <c r="A1153" s="6">
        <v>43427.052118055552</v>
      </c>
      <c r="B1153" s="7" t="str">
        <f>HYPERLINK("https://twitter.com/NTelevisa_com","@NTelevisa_com")</f>
        <v>@NTelevisa_com</v>
      </c>
      <c r="C1153" s="8" t="s">
        <v>4580</v>
      </c>
      <c r="D1153" s="9" t="s">
        <v>4581</v>
      </c>
      <c r="E1153" s="10" t="str">
        <f>HYPERLINK("https://twitter.com/NTelevisa_com/status/1065760604537978882","1065760604537978882")</f>
        <v>1065760604537978882</v>
      </c>
      <c r="F1153" s="11" t="s">
        <v>4582</v>
      </c>
      <c r="G1153" s="12"/>
      <c r="H1153" s="12"/>
      <c r="I1153" s="13">
        <v>0</v>
      </c>
      <c r="J1153" s="13">
        <v>2</v>
      </c>
      <c r="K1153" s="14" t="str">
        <f>HYPERLINK("https://www.hootsuite.com","Hootsuite Inc.")</f>
        <v>Hootsuite Inc.</v>
      </c>
      <c r="L1153" s="13">
        <v>2781617</v>
      </c>
      <c r="M1153" s="13">
        <v>545</v>
      </c>
      <c r="N1153" s="13">
        <v>10344</v>
      </c>
      <c r="O1153" s="16" t="s">
        <v>26</v>
      </c>
      <c r="P1153" s="6">
        <v>39891.994189814817</v>
      </c>
      <c r="Q1153" s="17" t="s">
        <v>4583</v>
      </c>
      <c r="R1153" s="18" t="s">
        <v>4584</v>
      </c>
      <c r="S1153" s="11" t="s">
        <v>4585</v>
      </c>
      <c r="T1153" s="12"/>
      <c r="U1153" s="10" t="str">
        <f>HYPERLINK("https://pbs.twimg.com/profile_images/849121482982731776/rd1Q4kPo.jpg","View")</f>
        <v>View</v>
      </c>
    </row>
    <row r="1154" spans="1:21" ht="40.799999999999997">
      <c r="A1154" s="6">
        <v>43427.051875000005</v>
      </c>
      <c r="B1154" s="7" t="str">
        <f>HYPERLINK("https://twitter.com/informador_INT","@informador_INT")</f>
        <v>@informador_INT</v>
      </c>
      <c r="C1154" s="8" t="s">
        <v>4037</v>
      </c>
      <c r="D1154" s="9" t="s">
        <v>4586</v>
      </c>
      <c r="E1154" s="10" t="str">
        <f>HYPERLINK("https://twitter.com/informador_INT/status/1065760517216788481","1065760517216788481")</f>
        <v>1065760517216788481</v>
      </c>
      <c r="F1154" s="11" t="s">
        <v>4587</v>
      </c>
      <c r="G1154" s="12"/>
      <c r="H1154" s="12"/>
      <c r="I1154" s="13">
        <v>1</v>
      </c>
      <c r="J1154" s="13">
        <v>0</v>
      </c>
      <c r="K1154" s="14" t="str">
        <f>HYPERLINK("https://ifttt.com","IFTTT")</f>
        <v>IFTTT</v>
      </c>
      <c r="L1154" s="13">
        <v>9339</v>
      </c>
      <c r="M1154" s="13">
        <v>104</v>
      </c>
      <c r="N1154" s="13">
        <v>139</v>
      </c>
      <c r="O1154" s="15"/>
      <c r="P1154" s="6">
        <v>41198.976076388892</v>
      </c>
      <c r="Q1154" s="17" t="s">
        <v>4040</v>
      </c>
      <c r="R1154" s="18" t="s">
        <v>4041</v>
      </c>
      <c r="S1154" s="11" t="s">
        <v>4042</v>
      </c>
      <c r="T1154" s="12"/>
      <c r="U1154" s="10" t="str">
        <f>HYPERLINK("https://pbs.twimg.com/profile_images/912734965791563776/M4uS7DRm.jpg","View")</f>
        <v>View</v>
      </c>
    </row>
    <row r="1155" spans="1:21" ht="20.399999999999999">
      <c r="A1155" s="6">
        <v>43427.051631944443</v>
      </c>
      <c r="B1155" s="7" t="str">
        <f>HYPERLINK("https://twitter.com/HerwarthMorales","@HerwarthMorales")</f>
        <v>@HerwarthMorales</v>
      </c>
      <c r="C1155" s="8" t="s">
        <v>4588</v>
      </c>
      <c r="D1155" s="9" t="s">
        <v>4589</v>
      </c>
      <c r="E1155" s="10" t="str">
        <f>HYPERLINK("https://twitter.com/HerwarthMorales/status/1065760427383103489","1065760427383103489")</f>
        <v>1065760427383103489</v>
      </c>
      <c r="F1155" s="11" t="s">
        <v>4590</v>
      </c>
      <c r="G1155" s="12"/>
      <c r="H1155" s="12"/>
      <c r="I1155" s="13">
        <v>0</v>
      </c>
      <c r="J1155" s="13">
        <v>0</v>
      </c>
      <c r="K1155" s="14" t="str">
        <f>HYPERLINK("http://twitter.com/download/android","Twitter for Android")</f>
        <v>Twitter for Android</v>
      </c>
      <c r="L1155" s="13">
        <v>62</v>
      </c>
      <c r="M1155" s="13">
        <v>109</v>
      </c>
      <c r="N1155" s="13">
        <v>16</v>
      </c>
      <c r="O1155" s="15"/>
      <c r="P1155" s="6">
        <v>40973.639039351852</v>
      </c>
      <c r="Q1155" s="17" t="s">
        <v>4591</v>
      </c>
      <c r="R1155" s="18" t="s">
        <v>4592</v>
      </c>
      <c r="S1155" s="11" t="s">
        <v>4593</v>
      </c>
      <c r="T1155" s="12"/>
      <c r="U1155" s="10" t="str">
        <f>HYPERLINK("https://pbs.twimg.com/profile_images/958849866100338693/MnDOemLL.jpg","View")</f>
        <v>View</v>
      </c>
    </row>
    <row r="1156" spans="1:21" ht="13.2">
      <c r="A1156" s="6">
        <v>43427.051087962958</v>
      </c>
      <c r="B1156" s="7" t="str">
        <f>HYPERLINK("https://twitter.com/afrvet","@afrvet")</f>
        <v>@afrvet</v>
      </c>
      <c r="C1156" s="8" t="s">
        <v>4594</v>
      </c>
      <c r="D1156" s="9" t="s">
        <v>2091</v>
      </c>
      <c r="E1156" s="10" t="str">
        <f>HYPERLINK("https://twitter.com/afrvet/status/1065760228740878336","1065760228740878336")</f>
        <v>1065760228740878336</v>
      </c>
      <c r="F1156" s="11" t="s">
        <v>2092</v>
      </c>
      <c r="G1156" s="12"/>
      <c r="H1156" s="12"/>
      <c r="I1156" s="13">
        <v>0</v>
      </c>
      <c r="J1156" s="13">
        <v>1</v>
      </c>
      <c r="K1156" s="14" t="str">
        <f>HYPERLINK("http://twitter.com","Twitter Web Client")</f>
        <v>Twitter Web Client</v>
      </c>
      <c r="L1156" s="13">
        <v>1967</v>
      </c>
      <c r="M1156" s="13">
        <v>1619</v>
      </c>
      <c r="N1156" s="13">
        <v>25</v>
      </c>
      <c r="O1156" s="15"/>
      <c r="P1156" s="6">
        <v>40000.540173611109</v>
      </c>
      <c r="Q1156" s="17" t="s">
        <v>4595</v>
      </c>
      <c r="R1156" s="19"/>
      <c r="S1156" s="12"/>
      <c r="T1156" s="12"/>
      <c r="U1156" s="10" t="str">
        <f>HYPERLINK("https://pbs.twimg.com/profile_images/929461322105925633/P_CtDrkl.jpg","View")</f>
        <v>View</v>
      </c>
    </row>
    <row r="1157" spans="1:21" ht="61.2">
      <c r="A1157" s="6">
        <v>43427.050092592588</v>
      </c>
      <c r="B1157" s="7" t="str">
        <f>HYPERLINK("https://twitter.com/ExeSpears","@ExeSpears")</f>
        <v>@ExeSpears</v>
      </c>
      <c r="C1157" s="8" t="s">
        <v>4596</v>
      </c>
      <c r="D1157" s="9" t="s">
        <v>4597</v>
      </c>
      <c r="E1157" s="10" t="str">
        <f>HYPERLINK("https://twitter.com/ExeSpears/status/1065759868198551552","1065759868198551552")</f>
        <v>1065759868198551552</v>
      </c>
      <c r="F1157" s="11" t="s">
        <v>4598</v>
      </c>
      <c r="G1157" s="12"/>
      <c r="H1157" s="12"/>
      <c r="I1157" s="13">
        <v>0</v>
      </c>
      <c r="J1157" s="13">
        <v>0</v>
      </c>
      <c r="K1157" s="14" t="str">
        <f>HYPERLINK("http://www.crowdfireapp.com","Crowdfire - Go Big")</f>
        <v>Crowdfire - Go Big</v>
      </c>
      <c r="L1157" s="13">
        <v>11461</v>
      </c>
      <c r="M1157" s="13">
        <v>7415</v>
      </c>
      <c r="N1157" s="13">
        <v>27</v>
      </c>
      <c r="O1157" s="15"/>
      <c r="P1157" s="6">
        <v>39862.378009259257</v>
      </c>
      <c r="Q1157" s="17" t="s">
        <v>422</v>
      </c>
      <c r="R1157" s="18" t="s">
        <v>4599</v>
      </c>
      <c r="S1157" s="11" t="s">
        <v>4600</v>
      </c>
      <c r="T1157" s="12"/>
      <c r="U1157" s="10" t="str">
        <f>HYPERLINK("https://pbs.twimg.com/profile_images/1063493017129152512/nQQZw6No.jpg","View")</f>
        <v>View</v>
      </c>
    </row>
    <row r="1158" spans="1:21" ht="20.399999999999999">
      <c r="A1158" s="6">
        <v>43427.049456018518</v>
      </c>
      <c r="B1158" s="7" t="str">
        <f>HYPERLINK("https://twitter.com/1950emilio","@1950emilio")</f>
        <v>@1950emilio</v>
      </c>
      <c r="C1158" s="8" t="s">
        <v>4601</v>
      </c>
      <c r="D1158" s="9" t="s">
        <v>4602</v>
      </c>
      <c r="E1158" s="10" t="str">
        <f>HYPERLINK("https://twitter.com/1950emilio/status/1065759637293621250","1065759637293621250")</f>
        <v>1065759637293621250</v>
      </c>
      <c r="F1158" s="11" t="s">
        <v>3789</v>
      </c>
      <c r="G1158" s="12"/>
      <c r="H1158" s="12"/>
      <c r="I1158" s="13">
        <v>0</v>
      </c>
      <c r="J1158" s="13">
        <v>0</v>
      </c>
      <c r="K1158" s="14" t="str">
        <f>HYPERLINK("http://twitter.com/download/iphone","Twitter for iPhone")</f>
        <v>Twitter for iPhone</v>
      </c>
      <c r="L1158" s="13">
        <v>696</v>
      </c>
      <c r="M1158" s="13">
        <v>630</v>
      </c>
      <c r="N1158" s="13">
        <v>39</v>
      </c>
      <c r="O1158" s="15"/>
      <c r="P1158" s="6">
        <v>41633.790196759262</v>
      </c>
      <c r="Q1158" s="12"/>
      <c r="R1158" s="18" t="s">
        <v>4603</v>
      </c>
      <c r="S1158" s="12"/>
      <c r="T1158" s="12"/>
      <c r="U1158" s="10" t="str">
        <f>HYPERLINK("https://pbs.twimg.com/profile_images/974339114907549696/YkOb4e3F.jpg","View")</f>
        <v>View</v>
      </c>
    </row>
    <row r="1159" spans="1:21" ht="71.400000000000006">
      <c r="A1159" s="6">
        <v>43427.049351851849</v>
      </c>
      <c r="B1159" s="7" t="str">
        <f>HYPERLINK("https://twitter.com/margaritapelli2","@margaritapelli2")</f>
        <v>@margaritapelli2</v>
      </c>
      <c r="C1159" s="8" t="s">
        <v>4604</v>
      </c>
      <c r="D1159" s="9" t="s">
        <v>4605</v>
      </c>
      <c r="E1159" s="10" t="str">
        <f>HYPERLINK("https://twitter.com/margaritapelli2/status/1065759602644606978","1065759602644606978")</f>
        <v>1065759602644606978</v>
      </c>
      <c r="F1159" s="11" t="s">
        <v>4606</v>
      </c>
      <c r="G1159" s="11" t="s">
        <v>4607</v>
      </c>
      <c r="H1159" s="12"/>
      <c r="I1159" s="13">
        <v>0</v>
      </c>
      <c r="J1159" s="13">
        <v>0</v>
      </c>
      <c r="K1159" s="14" t="str">
        <f>HYPERLINK("http://twitter.com/download/android","Twitter for Android")</f>
        <v>Twitter for Android</v>
      </c>
      <c r="L1159" s="13">
        <v>24</v>
      </c>
      <c r="M1159" s="13">
        <v>96</v>
      </c>
      <c r="N1159" s="13">
        <v>1</v>
      </c>
      <c r="O1159" s="15"/>
      <c r="P1159" s="6">
        <v>43182.95612268518</v>
      </c>
      <c r="Q1159" s="12"/>
      <c r="R1159" s="18" t="s">
        <v>4608</v>
      </c>
      <c r="S1159" s="12"/>
      <c r="T1159" s="12"/>
      <c r="U1159" s="10" t="str">
        <f>HYPERLINK("https://pbs.twimg.com/profile_images/1037854710722703360/pj2n7y_S.jpg","View")</f>
        <v>View</v>
      </c>
    </row>
    <row r="1160" spans="1:21" ht="51">
      <c r="A1160" s="6">
        <v>43427.04923611111</v>
      </c>
      <c r="B1160" s="7" t="str">
        <f>HYPERLINK("https://twitter.com/elportaluco","@elportaluco")</f>
        <v>@elportaluco</v>
      </c>
      <c r="C1160" s="8" t="s">
        <v>3971</v>
      </c>
      <c r="D1160" s="9" t="s">
        <v>4609</v>
      </c>
      <c r="E1160" s="10" t="str">
        <f>HYPERLINK("https://twitter.com/elportaluco/status/1065759560051372033","1065759560051372033")</f>
        <v>1065759560051372033</v>
      </c>
      <c r="F1160" s="11" t="s">
        <v>4610</v>
      </c>
      <c r="G1160" s="12"/>
      <c r="H1160" s="12"/>
      <c r="I1160" s="13">
        <v>0</v>
      </c>
      <c r="J1160" s="13">
        <v>0</v>
      </c>
      <c r="K1160" s="14" t="str">
        <f>HYPERLINK("https://ifttt.com","IFTTT")</f>
        <v>IFTTT</v>
      </c>
      <c r="L1160" s="13">
        <v>3578</v>
      </c>
      <c r="M1160" s="13">
        <v>1280</v>
      </c>
      <c r="N1160" s="13">
        <v>109</v>
      </c>
      <c r="O1160" s="15"/>
      <c r="P1160" s="6">
        <v>40096.002349537041</v>
      </c>
      <c r="Q1160" s="17" t="s">
        <v>3974</v>
      </c>
      <c r="R1160" s="18" t="s">
        <v>3975</v>
      </c>
      <c r="S1160" s="11" t="s">
        <v>3976</v>
      </c>
      <c r="T1160" s="12"/>
      <c r="U1160" s="10" t="str">
        <f>HYPERLINK("https://pbs.twimg.com/profile_images/1583693441/el_portaluco_twitter.JPG","View")</f>
        <v>View</v>
      </c>
    </row>
    <row r="1161" spans="1:21" ht="20.399999999999999">
      <c r="A1161" s="6">
        <v>43427.048368055555</v>
      </c>
      <c r="B1161" s="7" t="str">
        <f>HYPERLINK("https://twitter.com/Jaimedsj","@Jaimedsj")</f>
        <v>@Jaimedsj</v>
      </c>
      <c r="C1161" s="8" t="s">
        <v>4611</v>
      </c>
      <c r="D1161" s="9" t="s">
        <v>4612</v>
      </c>
      <c r="E1161" s="10" t="str">
        <f>HYPERLINK("https://twitter.com/Jaimedsj/status/1065759245281492992","1065759245281492992")</f>
        <v>1065759245281492992</v>
      </c>
      <c r="F1161" s="11" t="s">
        <v>4613</v>
      </c>
      <c r="G1161" s="11" t="s">
        <v>4614</v>
      </c>
      <c r="H1161" s="12"/>
      <c r="I1161" s="13">
        <v>0</v>
      </c>
      <c r="J1161" s="13">
        <v>1</v>
      </c>
      <c r="K1161" s="14" t="str">
        <f>HYPERLINK("http://twitter.com/download/iphone","Twitter for iPhone")</f>
        <v>Twitter for iPhone</v>
      </c>
      <c r="L1161" s="13">
        <v>86</v>
      </c>
      <c r="M1161" s="13">
        <v>699</v>
      </c>
      <c r="N1161" s="13">
        <v>0</v>
      </c>
      <c r="O1161" s="15"/>
      <c r="P1161" s="6">
        <v>42645.871481481481</v>
      </c>
      <c r="Q1161" s="17" t="s">
        <v>4615</v>
      </c>
      <c r="R1161" s="18" t="s">
        <v>4616</v>
      </c>
      <c r="S1161" s="12"/>
      <c r="T1161" s="12"/>
      <c r="U1161" s="10" t="str">
        <f>HYPERLINK("https://pbs.twimg.com/profile_images/949019486098685952/P0txjZTm.jpg","View")</f>
        <v>View</v>
      </c>
    </row>
    <row r="1162" spans="1:21" ht="20.399999999999999">
      <c r="A1162" s="6">
        <v>43427.04724537037</v>
      </c>
      <c r="B1162" s="7" t="str">
        <f>HYPERLINK("https://twitter.com/isitaymeme","@isitaymeme")</f>
        <v>@isitaymeme</v>
      </c>
      <c r="C1162" s="8" t="s">
        <v>4617</v>
      </c>
      <c r="D1162" s="9" t="s">
        <v>4618</v>
      </c>
      <c r="E1162" s="10" t="str">
        <f>HYPERLINK("https://twitter.com/isitaymeme/status/1065758838161330176","1065758838161330176")</f>
        <v>1065758838161330176</v>
      </c>
      <c r="F1162" s="11" t="s">
        <v>1557</v>
      </c>
      <c r="G1162" s="12"/>
      <c r="H1162" s="12"/>
      <c r="I1162" s="13">
        <v>0</v>
      </c>
      <c r="J1162" s="13">
        <v>0</v>
      </c>
      <c r="K1162" s="14" t="str">
        <f>HYPERLINK("http://twitter.com","Twitter Web Client")</f>
        <v>Twitter Web Client</v>
      </c>
      <c r="L1162" s="13">
        <v>6642</v>
      </c>
      <c r="M1162" s="13">
        <v>6999</v>
      </c>
      <c r="N1162" s="13">
        <v>283</v>
      </c>
      <c r="O1162" s="15"/>
      <c r="P1162" s="6">
        <v>41052.835312499999</v>
      </c>
      <c r="Q1162" s="17" t="s">
        <v>4619</v>
      </c>
      <c r="R1162" s="18" t="s">
        <v>4620</v>
      </c>
      <c r="S1162" s="12"/>
      <c r="T1162" s="12"/>
      <c r="U1162" s="10" t="str">
        <f>HYPERLINK("https://pbs.twimg.com/profile_images/995479045822472193/1sPCeE36.jpg","View")</f>
        <v>View</v>
      </c>
    </row>
    <row r="1163" spans="1:21" ht="20.399999999999999">
      <c r="A1163" s="6">
        <v>43427.0466087963</v>
      </c>
      <c r="B1163" s="7" t="str">
        <f>HYPERLINK("https://twitter.com/NDtitulares","@NDtitulares")</f>
        <v>@NDtitulares</v>
      </c>
      <c r="C1163" s="8" t="s">
        <v>4166</v>
      </c>
      <c r="D1163" s="9" t="s">
        <v>3190</v>
      </c>
      <c r="E1163" s="10" t="str">
        <f>HYPERLINK("https://twitter.com/NDtitulares/status/1065758607549984768","1065758607549984768")</f>
        <v>1065758607549984768</v>
      </c>
      <c r="F1163" s="11" t="s">
        <v>3191</v>
      </c>
      <c r="G1163" s="11" t="s">
        <v>4621</v>
      </c>
      <c r="H1163" s="12"/>
      <c r="I1163" s="13">
        <v>0</v>
      </c>
      <c r="J1163" s="13">
        <v>0</v>
      </c>
      <c r="K1163" s="14" t="str">
        <f>HYPERLINK("http://www.noticierodigital.com","PublicarTuitsDesdeWP")</f>
        <v>PublicarTuitsDesdeWP</v>
      </c>
      <c r="L1163" s="13">
        <v>717211</v>
      </c>
      <c r="M1163" s="13">
        <v>1611</v>
      </c>
      <c r="N1163" s="13">
        <v>3756</v>
      </c>
      <c r="O1163" s="15"/>
      <c r="P1163" s="6">
        <v>39930.715879629628</v>
      </c>
      <c r="Q1163" s="17" t="s">
        <v>104</v>
      </c>
      <c r="R1163" s="18" t="s">
        <v>4167</v>
      </c>
      <c r="S1163" s="11" t="s">
        <v>4168</v>
      </c>
      <c r="T1163" s="12"/>
      <c r="U1163" s="10" t="str">
        <f>HYPERLINK("https://pbs.twimg.com/profile_images/875451743815053313/Xr2jDG9I.jpg","View")</f>
        <v>View</v>
      </c>
    </row>
    <row r="1164" spans="1:21" ht="40.799999999999997">
      <c r="A1164" s="6">
        <v>43427.046446759261</v>
      </c>
      <c r="B1164" s="7" t="str">
        <f>HYPERLINK("https://twitter.com/RedMasNoticias","@RedMasNoticias")</f>
        <v>@RedMasNoticias</v>
      </c>
      <c r="C1164" s="8" t="s">
        <v>4622</v>
      </c>
      <c r="D1164" s="9" t="s">
        <v>4623</v>
      </c>
      <c r="E1164" s="10" t="str">
        <f>HYPERLINK("https://twitter.com/RedMasNoticias/status/1065758549916246016","1065758549916246016")</f>
        <v>1065758549916246016</v>
      </c>
      <c r="F1164" s="11" t="s">
        <v>4624</v>
      </c>
      <c r="G1164" s="12"/>
      <c r="H1164" s="12"/>
      <c r="I1164" s="13">
        <v>0</v>
      </c>
      <c r="J1164" s="13">
        <v>0</v>
      </c>
      <c r="K1164" s="14" t="str">
        <f>HYPERLINK("https://about.twitter.com/products/tweetdeck","TweetDeck")</f>
        <v>TweetDeck</v>
      </c>
      <c r="L1164" s="13">
        <v>86700</v>
      </c>
      <c r="M1164" s="13">
        <v>438</v>
      </c>
      <c r="N1164" s="13">
        <v>518</v>
      </c>
      <c r="O1164" s="16" t="s">
        <v>26</v>
      </c>
      <c r="P1164" s="6">
        <v>41472.967453703706</v>
      </c>
      <c r="Q1164" s="17" t="s">
        <v>2506</v>
      </c>
      <c r="R1164" s="18" t="s">
        <v>4625</v>
      </c>
      <c r="S1164" s="11" t="s">
        <v>4626</v>
      </c>
      <c r="T1164" s="12"/>
      <c r="U1164" s="10" t="str">
        <f>HYPERLINK("https://pbs.twimg.com/profile_images/1054335695395917832/YD3BeV2F.jpg","View")</f>
        <v>View</v>
      </c>
    </row>
    <row r="1165" spans="1:21" ht="40.799999999999997">
      <c r="A1165" s="6">
        <v>43427.046284722222</v>
      </c>
      <c r="B1165" s="7" t="str">
        <f>HYPERLINK("https://twitter.com/peruenlanoticia","@peruenlanoticia")</f>
        <v>@peruenlanoticia</v>
      </c>
      <c r="C1165" s="8" t="s">
        <v>4627</v>
      </c>
      <c r="D1165" s="9" t="s">
        <v>4628</v>
      </c>
      <c r="E1165" s="10" t="str">
        <f>HYPERLINK("https://twitter.com/peruenlanoticia/status/1065758488960339969","1065758488960339969")</f>
        <v>1065758488960339969</v>
      </c>
      <c r="F1165" s="11" t="s">
        <v>4629</v>
      </c>
      <c r="G1165" s="11" t="s">
        <v>4630</v>
      </c>
      <c r="H1165" s="12"/>
      <c r="I1165" s="13">
        <v>0</v>
      </c>
      <c r="J1165" s="13">
        <v>0</v>
      </c>
      <c r="K1165" s="14" t="str">
        <f>HYPERLINK("https://www.hootsuite.com","Hootsuite Inc.")</f>
        <v>Hootsuite Inc.</v>
      </c>
      <c r="L1165" s="13">
        <v>56172</v>
      </c>
      <c r="M1165" s="13">
        <v>15359</v>
      </c>
      <c r="N1165" s="13">
        <v>291</v>
      </c>
      <c r="O1165" s="15"/>
      <c r="P1165" s="6">
        <v>41687.802361111113</v>
      </c>
      <c r="Q1165" s="17" t="s">
        <v>4631</v>
      </c>
      <c r="R1165" s="18" t="s">
        <v>4632</v>
      </c>
      <c r="S1165" s="11" t="s">
        <v>4633</v>
      </c>
      <c r="T1165" s="12"/>
      <c r="U1165" s="10" t="str">
        <f>HYPERLINK("https://pbs.twimg.com/profile_images/691305478710759424/_9CWYoQJ.jpg","View")</f>
        <v>View</v>
      </c>
    </row>
    <row r="1166" spans="1:21" ht="30.6">
      <c r="A1166" s="6">
        <v>43427.04515046296</v>
      </c>
      <c r="B1166" s="7" t="str">
        <f>HYPERLINK("https://twitter.com/globedia","@globedia")</f>
        <v>@globedia</v>
      </c>
      <c r="C1166" s="8" t="s">
        <v>4634</v>
      </c>
      <c r="D1166" s="9" t="s">
        <v>4635</v>
      </c>
      <c r="E1166" s="10" t="str">
        <f>HYPERLINK("https://twitter.com/globedia/status/1065758079457861632","1065758079457861632")</f>
        <v>1065758079457861632</v>
      </c>
      <c r="F1166" s="11" t="s">
        <v>4637</v>
      </c>
      <c r="G1166" s="12"/>
      <c r="H1166" s="12"/>
      <c r="I1166" s="13">
        <v>0</v>
      </c>
      <c r="J1166" s="13">
        <v>0</v>
      </c>
      <c r="K1166" s="14" t="str">
        <f>HYPERLINK("http://www.globedia.com","Globedia")</f>
        <v>Globedia</v>
      </c>
      <c r="L1166" s="13">
        <v>11301</v>
      </c>
      <c r="M1166" s="13">
        <v>10631</v>
      </c>
      <c r="N1166" s="13">
        <v>170</v>
      </c>
      <c r="O1166" s="15"/>
      <c r="P1166" s="6">
        <v>39911.337881944448</v>
      </c>
      <c r="Q1166" s="17" t="s">
        <v>4639</v>
      </c>
      <c r="R1166" s="18" t="s">
        <v>4640</v>
      </c>
      <c r="S1166" s="11" t="s">
        <v>4641</v>
      </c>
      <c r="T1166" s="12"/>
      <c r="U1166" s="10" t="str">
        <f>HYPERLINK("https://pbs.twimg.com/profile_images/461159850760626176/Nh7DOtiK.jpeg","View")</f>
        <v>View</v>
      </c>
    </row>
    <row r="1167" spans="1:21" ht="51">
      <c r="A1167" s="6">
        <v>43427.045115740737</v>
      </c>
      <c r="B1167" s="7" t="str">
        <f>HYPERLINK("https://twitter.com/FedericoClemen8","@FedericoClemen8")</f>
        <v>@FedericoClemen8</v>
      </c>
      <c r="C1167" s="8" t="s">
        <v>4642</v>
      </c>
      <c r="D1167" s="9" t="s">
        <v>4643</v>
      </c>
      <c r="E1167" s="10" t="str">
        <f>HYPERLINK("https://twitter.com/FedericoClemen8/status/1065758066950443008","1065758066950443008")</f>
        <v>1065758066950443008</v>
      </c>
      <c r="F1167" s="11" t="s">
        <v>1384</v>
      </c>
      <c r="G1167" s="12"/>
      <c r="H1167" s="12"/>
      <c r="I1167" s="13">
        <v>1</v>
      </c>
      <c r="J1167" s="13">
        <v>0</v>
      </c>
      <c r="K1167" s="14" t="str">
        <f t="shared" ref="K1167:K1170" si="198">HYPERLINK("http://twitter.com","Twitter Web Client")</f>
        <v>Twitter Web Client</v>
      </c>
      <c r="L1167" s="13">
        <v>363</v>
      </c>
      <c r="M1167" s="13">
        <v>2578</v>
      </c>
      <c r="N1167" s="13">
        <v>2</v>
      </c>
      <c r="O1167" s="15"/>
      <c r="P1167" s="6">
        <v>43097.20612268518</v>
      </c>
      <c r="Q1167" s="12"/>
      <c r="R1167" s="19"/>
      <c r="S1167" s="12"/>
      <c r="T1167" s="12"/>
      <c r="U1167" s="10" t="str">
        <f>HYPERLINK("https://pbs.twimg.com/profile_images/947336587058270209/2wcTlDS3.jpg","View")</f>
        <v>View</v>
      </c>
    </row>
    <row r="1168" spans="1:21" ht="40.799999999999997">
      <c r="A1168" s="6">
        <v>43427.044953703706</v>
      </c>
      <c r="B1168" s="7" t="str">
        <f>HYPERLINK("https://twitter.com/trabajadorescu","@trabajadorescu")</f>
        <v>@trabajadorescu</v>
      </c>
      <c r="C1168" s="20" t="s">
        <v>1203</v>
      </c>
      <c r="D1168" s="9" t="s">
        <v>4644</v>
      </c>
      <c r="E1168" s="10" t="str">
        <f>HYPERLINK("https://twitter.com/trabajadorescu/status/1065758006900604928","1065758006900604928")</f>
        <v>1065758006900604928</v>
      </c>
      <c r="F1168" s="11" t="s">
        <v>4645</v>
      </c>
      <c r="G1168" s="12"/>
      <c r="H1168" s="12"/>
      <c r="I1168" s="13">
        <v>7</v>
      </c>
      <c r="J1168" s="13">
        <v>13</v>
      </c>
      <c r="K1168" s="14" t="str">
        <f t="shared" si="198"/>
        <v>Twitter Web Client</v>
      </c>
      <c r="L1168" s="13">
        <v>9838</v>
      </c>
      <c r="M1168" s="13">
        <v>272</v>
      </c>
      <c r="N1168" s="13">
        <v>151</v>
      </c>
      <c r="O1168" s="15"/>
      <c r="P1168" s="6">
        <v>40304.712233796294</v>
      </c>
      <c r="Q1168" s="17" t="s">
        <v>52</v>
      </c>
      <c r="R1168" s="18" t="s">
        <v>1206</v>
      </c>
      <c r="S1168" s="11" t="s">
        <v>1207</v>
      </c>
      <c r="T1168" s="12"/>
      <c r="U1168" s="10" t="str">
        <f>HYPERLINK("https://pbs.twimg.com/profile_images/986694080213037056/J0pt8JjI.jpg","View")</f>
        <v>View</v>
      </c>
    </row>
    <row r="1169" spans="1:21" ht="51">
      <c r="A1169" s="6">
        <v>43427.044548611113</v>
      </c>
      <c r="B1169" s="7" t="str">
        <f>HYPERLINK("https://twitter.com/VergaraBuenoA","@VergaraBuenoA")</f>
        <v>@VergaraBuenoA</v>
      </c>
      <c r="C1169" s="8" t="s">
        <v>4646</v>
      </c>
      <c r="D1169" s="9" t="s">
        <v>4647</v>
      </c>
      <c r="E1169" s="10" t="str">
        <f>HYPERLINK("https://twitter.com/VergaraBuenoA/status/1065757859433074694","1065757859433074694")</f>
        <v>1065757859433074694</v>
      </c>
      <c r="F1169" s="12"/>
      <c r="G1169" s="11" t="s">
        <v>536</v>
      </c>
      <c r="H1169" s="12"/>
      <c r="I1169" s="13">
        <v>24</v>
      </c>
      <c r="J1169" s="13">
        <v>28</v>
      </c>
      <c r="K1169" s="14" t="str">
        <f t="shared" si="198"/>
        <v>Twitter Web Client</v>
      </c>
      <c r="L1169" s="13">
        <v>2161</v>
      </c>
      <c r="M1169" s="13">
        <v>1258</v>
      </c>
      <c r="N1169" s="13">
        <v>18</v>
      </c>
      <c r="O1169" s="15"/>
      <c r="P1169" s="6">
        <v>42691.912581018521</v>
      </c>
      <c r="Q1169" s="17" t="s">
        <v>40</v>
      </c>
      <c r="R1169" s="18" t="s">
        <v>4648</v>
      </c>
      <c r="S1169" s="11" t="s">
        <v>2704</v>
      </c>
      <c r="T1169" s="12"/>
      <c r="U1169" s="10" t="str">
        <f>HYPERLINK("https://pbs.twimg.com/profile_images/1036619845427593216/ocB8MXc7.jpg","View")</f>
        <v>View</v>
      </c>
    </row>
    <row r="1170" spans="1:21" ht="20.399999999999999">
      <c r="A1170" s="6">
        <v>43427.044502314813</v>
      </c>
      <c r="B1170" s="7" t="str">
        <f>HYPERLINK("https://twitter.com/solponiente72","@solponiente72")</f>
        <v>@solponiente72</v>
      </c>
      <c r="C1170" s="8" t="s">
        <v>4649</v>
      </c>
      <c r="D1170" s="9" t="s">
        <v>4650</v>
      </c>
      <c r="E1170" s="10" t="str">
        <f>HYPERLINK("https://twitter.com/solponiente72/status/1065757843591184384","1065757843591184384")</f>
        <v>1065757843591184384</v>
      </c>
      <c r="F1170" s="11" t="s">
        <v>2089</v>
      </c>
      <c r="G1170" s="12"/>
      <c r="H1170" s="12"/>
      <c r="I1170" s="13">
        <v>0</v>
      </c>
      <c r="J1170" s="13">
        <v>0</v>
      </c>
      <c r="K1170" s="14" t="str">
        <f t="shared" si="198"/>
        <v>Twitter Web Client</v>
      </c>
      <c r="L1170" s="13">
        <v>245</v>
      </c>
      <c r="M1170" s="13">
        <v>446</v>
      </c>
      <c r="N1170" s="13">
        <v>1</v>
      </c>
      <c r="O1170" s="15"/>
      <c r="P1170" s="6">
        <v>42096.050625000003</v>
      </c>
      <c r="Q1170" s="17" t="s">
        <v>28</v>
      </c>
      <c r="R1170" s="18" t="s">
        <v>4651</v>
      </c>
      <c r="S1170" s="12"/>
      <c r="T1170" s="12"/>
      <c r="U1170" s="10" t="str">
        <f>HYPERLINK("https://pbs.twimg.com/profile_images/1058028546935939072/6FYeQ9te.jpg","View")</f>
        <v>View</v>
      </c>
    </row>
    <row r="1171" spans="1:21" ht="40.799999999999997">
      <c r="A1171" s="6">
        <v>43427.044131944444</v>
      </c>
      <c r="B1171" s="7" t="str">
        <f>HYPERLINK("https://twitter.com/rafavasquez_","@rafavasquez_")</f>
        <v>@rafavasquez_</v>
      </c>
      <c r="C1171" s="8" t="s">
        <v>4652</v>
      </c>
      <c r="D1171" s="9" t="s">
        <v>4653</v>
      </c>
      <c r="E1171" s="10" t="str">
        <f>HYPERLINK("https://twitter.com/rafavasquez_/status/1065757710027677696","1065757710027677696")</f>
        <v>1065757710027677696</v>
      </c>
      <c r="F1171" s="11" t="s">
        <v>4654</v>
      </c>
      <c r="G1171" s="11" t="s">
        <v>4655</v>
      </c>
      <c r="H1171" s="12"/>
      <c r="I1171" s="13">
        <v>0</v>
      </c>
      <c r="J1171" s="13">
        <v>0</v>
      </c>
      <c r="K1171" s="14" t="str">
        <f>HYPERLINK("https://dlvrit.com/","dlvr.it")</f>
        <v>dlvr.it</v>
      </c>
      <c r="L1171" s="13">
        <v>1938</v>
      </c>
      <c r="M1171" s="13">
        <v>3848</v>
      </c>
      <c r="N1171" s="13">
        <v>9</v>
      </c>
      <c r="O1171" s="15"/>
      <c r="P1171" s="6">
        <v>42773.108113425929</v>
      </c>
      <c r="Q1171" s="17" t="s">
        <v>104</v>
      </c>
      <c r="R1171" s="18" t="s">
        <v>4656</v>
      </c>
      <c r="S1171" s="11" t="s">
        <v>4657</v>
      </c>
      <c r="T1171" s="12"/>
      <c r="U1171" s="10" t="str">
        <f>HYPERLINK("https://pbs.twimg.com/profile_images/968560109671649281/6gELlxiR.jpg","View")</f>
        <v>View</v>
      </c>
    </row>
    <row r="1172" spans="1:21" ht="20.399999999999999">
      <c r="A1172" s="6">
        <v>43427.04305555555</v>
      </c>
      <c r="B1172" s="7" t="str">
        <f>HYPERLINK("https://twitter.com/EP_Mundo","@EP_Mundo")</f>
        <v>@EP_Mundo</v>
      </c>
      <c r="C1172" s="8" t="s">
        <v>298</v>
      </c>
      <c r="D1172" s="9" t="s">
        <v>299</v>
      </c>
      <c r="E1172" s="10" t="str">
        <f>HYPERLINK("https://twitter.com/EP_Mundo/status/1065757318711861251","1065757318711861251")</f>
        <v>1065757318711861251</v>
      </c>
      <c r="F1172" s="11" t="s">
        <v>99</v>
      </c>
      <c r="G1172" s="11" t="s">
        <v>4658</v>
      </c>
      <c r="H1172" s="12"/>
      <c r="I1172" s="13">
        <v>1</v>
      </c>
      <c r="J1172" s="13">
        <v>1</v>
      </c>
      <c r="K1172" s="14" t="str">
        <f>HYPERLINK("http://epmundo.com","Tuiteo TOP EP (2)")</f>
        <v>Tuiteo TOP EP (2)</v>
      </c>
      <c r="L1172" s="13">
        <v>510632</v>
      </c>
      <c r="M1172" s="13">
        <v>302207</v>
      </c>
      <c r="N1172" s="13">
        <v>1367</v>
      </c>
      <c r="O1172" s="15"/>
      <c r="P1172" s="6">
        <v>40203.223078703704</v>
      </c>
      <c r="Q1172" s="12"/>
      <c r="R1172" s="18" t="s">
        <v>303</v>
      </c>
      <c r="S1172" s="11" t="s">
        <v>304</v>
      </c>
      <c r="T1172" s="12"/>
      <c r="U1172" s="10" t="str">
        <f>HYPERLINK("https://pbs.twimg.com/profile_images/958329583778099200/87-xiuzB.jpg","View")</f>
        <v>View</v>
      </c>
    </row>
    <row r="1173" spans="1:21" ht="40.799999999999997">
      <c r="A1173" s="6">
        <v>43427.042893518519</v>
      </c>
      <c r="B1173" s="7" t="str">
        <f>HYPERLINK("https://twitter.com/wikinoticias","@wikinoticias")</f>
        <v>@wikinoticias</v>
      </c>
      <c r="C1173" s="8" t="s">
        <v>4659</v>
      </c>
      <c r="D1173" s="9" t="s">
        <v>4660</v>
      </c>
      <c r="E1173" s="10" t="str">
        <f>HYPERLINK("https://twitter.com/wikinoticias/status/1065757262898114561","1065757262898114561")</f>
        <v>1065757262898114561</v>
      </c>
      <c r="F1173" s="12"/>
      <c r="G1173" s="12"/>
      <c r="H1173" s="12"/>
      <c r="I1173" s="13">
        <v>2</v>
      </c>
      <c r="J1173" s="13">
        <v>2</v>
      </c>
      <c r="K1173" s="14" t="str">
        <f>HYPERLINK("https://about.twitter.com/products/tweetdeck","TweetDeck")</f>
        <v>TweetDeck</v>
      </c>
      <c r="L1173" s="13">
        <v>103167</v>
      </c>
      <c r="M1173" s="13">
        <v>1151</v>
      </c>
      <c r="N1173" s="13">
        <v>1450</v>
      </c>
      <c r="O1173" s="15"/>
      <c r="P1173" s="6">
        <v>39713.258703703701</v>
      </c>
      <c r="Q1173" s="17" t="s">
        <v>4661</v>
      </c>
      <c r="R1173" s="18" t="s">
        <v>4662</v>
      </c>
      <c r="S1173" s="11" t="s">
        <v>4663</v>
      </c>
      <c r="T1173" s="12"/>
      <c r="U1173" s="10" t="str">
        <f>HYPERLINK("https://pbs.twimg.com/profile_images/1052247542145196032/YXMuAn3k.jpg","View")</f>
        <v>View</v>
      </c>
    </row>
    <row r="1174" spans="1:21" ht="20.399999999999999">
      <c r="A1174" s="6">
        <v>43427.041990740741</v>
      </c>
      <c r="B1174" s="7" t="str">
        <f>HYPERLINK("https://twitter.com/Anaurdaneta15","@Anaurdaneta15")</f>
        <v>@Anaurdaneta15</v>
      </c>
      <c r="C1174" s="8" t="s">
        <v>4664</v>
      </c>
      <c r="D1174" s="9" t="s">
        <v>4665</v>
      </c>
      <c r="E1174" s="10" t="str">
        <f>HYPERLINK("https://twitter.com/Anaurdaneta15/status/1065756934291300352","1065756934291300352")</f>
        <v>1065756934291300352</v>
      </c>
      <c r="F1174" s="11" t="s">
        <v>4666</v>
      </c>
      <c r="G1174" s="12"/>
      <c r="H1174" s="12"/>
      <c r="I1174" s="13">
        <v>1</v>
      </c>
      <c r="J1174" s="13">
        <v>0</v>
      </c>
      <c r="K1174" s="14" t="str">
        <f t="shared" ref="K1174:K1175" si="199">HYPERLINK("http://twitter.com","Twitter Web Client")</f>
        <v>Twitter Web Client</v>
      </c>
      <c r="L1174" s="13">
        <v>6529</v>
      </c>
      <c r="M1174" s="13">
        <v>4902</v>
      </c>
      <c r="N1174" s="13">
        <v>20</v>
      </c>
      <c r="O1174" s="15"/>
      <c r="P1174" s="6">
        <v>41464.615208333329</v>
      </c>
      <c r="Q1174" s="17" t="s">
        <v>104</v>
      </c>
      <c r="R1174" s="18" t="s">
        <v>4667</v>
      </c>
      <c r="S1174" s="12"/>
      <c r="T1174" s="12"/>
      <c r="U1174" s="10" t="str">
        <f>HYPERLINK("https://pbs.twimg.com/profile_images/888193694838525952/JHJVbEjY.jpg","View")</f>
        <v>View</v>
      </c>
    </row>
    <row r="1175" spans="1:21" ht="40.799999999999997">
      <c r="A1175" s="6">
        <v>43427.041562500002</v>
      </c>
      <c r="B1175" s="7" t="str">
        <f>HYPERLINK("https://twitter.com/RadioMaisi","@RadioMaisi")</f>
        <v>@RadioMaisi</v>
      </c>
      <c r="C1175" s="8" t="s">
        <v>4668</v>
      </c>
      <c r="D1175" s="9" t="s">
        <v>4669</v>
      </c>
      <c r="E1175" s="10" t="str">
        <f>HYPERLINK("https://twitter.com/RadioMaisi/status/1065756779856965634","1065756779856965634")</f>
        <v>1065756779856965634</v>
      </c>
      <c r="F1175" s="12"/>
      <c r="G1175" s="11" t="s">
        <v>4670</v>
      </c>
      <c r="H1175" s="12"/>
      <c r="I1175" s="13">
        <v>3</v>
      </c>
      <c r="J1175" s="13">
        <v>2</v>
      </c>
      <c r="K1175" s="14" t="str">
        <f t="shared" si="199"/>
        <v>Twitter Web Client</v>
      </c>
      <c r="L1175" s="13">
        <v>1551</v>
      </c>
      <c r="M1175" s="13">
        <v>1867</v>
      </c>
      <c r="N1175" s="13">
        <v>33</v>
      </c>
      <c r="O1175" s="15"/>
      <c r="P1175" s="6">
        <v>41083.641956018517</v>
      </c>
      <c r="Q1175" s="17" t="s">
        <v>4671</v>
      </c>
      <c r="R1175" s="18" t="s">
        <v>4672</v>
      </c>
      <c r="S1175" s="11" t="s">
        <v>4673</v>
      </c>
      <c r="T1175" s="12"/>
      <c r="U1175" s="10" t="str">
        <f>HYPERLINK("https://pbs.twimg.com/profile_images/536227806993063936/iz6tyXov.jpeg","View")</f>
        <v>View</v>
      </c>
    </row>
    <row r="1176" spans="1:21" ht="51">
      <c r="A1176" s="6">
        <v>43427.041539351849</v>
      </c>
      <c r="B1176" s="7" t="str">
        <f>HYPERLINK("https://twitter.com/macajime1","@macajime1")</f>
        <v>@macajime1</v>
      </c>
      <c r="C1176" s="8" t="s">
        <v>4674</v>
      </c>
      <c r="D1176" s="9" t="s">
        <v>4675</v>
      </c>
      <c r="E1176" s="10" t="str">
        <f>HYPERLINK("https://twitter.com/macajime1/status/1065756770709250048","1065756770709250048")</f>
        <v>1065756770709250048</v>
      </c>
      <c r="F1176" s="11" t="s">
        <v>4676</v>
      </c>
      <c r="G1176" s="12"/>
      <c r="H1176" s="12"/>
      <c r="I1176" s="13">
        <v>12</v>
      </c>
      <c r="J1176" s="13">
        <v>14</v>
      </c>
      <c r="K1176" s="14" t="str">
        <f>HYPERLINK("http://twitter.com/download/android","Twitter for Android")</f>
        <v>Twitter for Android</v>
      </c>
      <c r="L1176" s="13">
        <v>1635</v>
      </c>
      <c r="M1176" s="13">
        <v>1576</v>
      </c>
      <c r="N1176" s="13">
        <v>7</v>
      </c>
      <c r="O1176" s="15"/>
      <c r="P1176" s="6">
        <v>42806.283958333333</v>
      </c>
      <c r="Q1176" s="17" t="s">
        <v>28</v>
      </c>
      <c r="R1176" s="18" t="s">
        <v>4677</v>
      </c>
      <c r="S1176" s="12"/>
      <c r="T1176" s="12"/>
      <c r="U1176" s="10" t="str">
        <f>HYPERLINK("https://pbs.twimg.com/profile_images/1065006451566002177/ywdm-0_h.jpg","View")</f>
        <v>View</v>
      </c>
    </row>
    <row r="1177" spans="1:21" ht="30.6">
      <c r="A1177" s="6">
        <v>43427.041458333333</v>
      </c>
      <c r="B1177" s="7" t="str">
        <f>HYPERLINK("https://twitter.com/fonseca_julio","@fonseca_julio")</f>
        <v>@fonseca_julio</v>
      </c>
      <c r="C1177" s="8" t="s">
        <v>4678</v>
      </c>
      <c r="D1177" s="9" t="s">
        <v>4679</v>
      </c>
      <c r="E1177" s="10" t="str">
        <f>HYPERLINK("https://twitter.com/fonseca_julio/status/1065756742103969797","1065756742103969797")</f>
        <v>1065756742103969797</v>
      </c>
      <c r="F1177" s="11" t="s">
        <v>4680</v>
      </c>
      <c r="G1177" s="11" t="s">
        <v>4681</v>
      </c>
      <c r="H1177" s="12"/>
      <c r="I1177" s="13">
        <v>0</v>
      </c>
      <c r="J1177" s="13">
        <v>0</v>
      </c>
      <c r="K1177" s="14" t="str">
        <f>HYPERLINK("http://twitter.com","Twitter Web Client")</f>
        <v>Twitter Web Client</v>
      </c>
      <c r="L1177" s="13">
        <v>828</v>
      </c>
      <c r="M1177" s="13">
        <v>762</v>
      </c>
      <c r="N1177" s="13">
        <v>41</v>
      </c>
      <c r="O1177" s="15"/>
      <c r="P1177" s="6">
        <v>40613.870659722219</v>
      </c>
      <c r="Q1177" s="17" t="s">
        <v>4682</v>
      </c>
      <c r="R1177" s="18" t="s">
        <v>4683</v>
      </c>
      <c r="S1177" s="11" t="s">
        <v>4684</v>
      </c>
      <c r="T1177" s="12"/>
      <c r="U1177" s="10" t="str">
        <f>HYPERLINK("https://pbs.twimg.com/profile_images/555144973989842946/iOqd3TQO.jpeg","View")</f>
        <v>View</v>
      </c>
    </row>
    <row r="1178" spans="1:21" ht="20.399999999999999">
      <c r="A1178" s="6">
        <v>43427.041041666671</v>
      </c>
      <c r="B1178" s="7" t="str">
        <f>HYPERLINK("https://twitter.com/PortalDiarioAR","@PortalDiarioAR")</f>
        <v>@PortalDiarioAR</v>
      </c>
      <c r="C1178" s="8" t="s">
        <v>34</v>
      </c>
      <c r="D1178" s="9" t="s">
        <v>4685</v>
      </c>
      <c r="E1178" s="10" t="str">
        <f>HYPERLINK("https://twitter.com/PortalDiarioAR/status/1065756591478063104","1065756591478063104")</f>
        <v>1065756591478063104</v>
      </c>
      <c r="F1178" s="11" t="s">
        <v>4686</v>
      </c>
      <c r="G1178" s="11" t="s">
        <v>4687</v>
      </c>
      <c r="H1178" s="12"/>
      <c r="I1178" s="13">
        <v>0</v>
      </c>
      <c r="J1178" s="13">
        <v>0</v>
      </c>
      <c r="K1178" s="14" t="str">
        <f>HYPERLINK("https://dlvrit.com/","dlvr.it")</f>
        <v>dlvr.it</v>
      </c>
      <c r="L1178" s="13">
        <v>2129</v>
      </c>
      <c r="M1178" s="13">
        <v>4</v>
      </c>
      <c r="N1178" s="13">
        <v>59</v>
      </c>
      <c r="O1178" s="15"/>
      <c r="P1178" s="6">
        <v>40910.191840277781</v>
      </c>
      <c r="Q1178" s="17" t="s">
        <v>36</v>
      </c>
      <c r="R1178" s="18" t="s">
        <v>37</v>
      </c>
      <c r="S1178" s="11" t="s">
        <v>38</v>
      </c>
      <c r="T1178" s="12"/>
      <c r="U1178" s="10" t="str">
        <f>HYPERLINK("https://pbs.twimg.com/profile_images/1001060315348586496/K3I7rPY5.jpg","View")</f>
        <v>View</v>
      </c>
    </row>
    <row r="1179" spans="1:21" ht="40.799999999999997">
      <c r="A1179" s="6">
        <v>43427.039583333331</v>
      </c>
      <c r="B1179" s="7" t="str">
        <f>HYPERLINK("https://twitter.com/gojammaj","@gojammaj")</f>
        <v>@gojammaj</v>
      </c>
      <c r="C1179" s="8" t="s">
        <v>4688</v>
      </c>
      <c r="D1179" s="9" t="s">
        <v>162</v>
      </c>
      <c r="E1179" s="10" t="str">
        <f>HYPERLINK("https://twitter.com/gojammaj/status/1065756060579880960","1065756060579880960")</f>
        <v>1065756060579880960</v>
      </c>
      <c r="F1179" s="11" t="s">
        <v>163</v>
      </c>
      <c r="G1179" s="12"/>
      <c r="H1179" s="12"/>
      <c r="I1179" s="13">
        <v>1</v>
      </c>
      <c r="J1179" s="13">
        <v>1</v>
      </c>
      <c r="K1179" s="14" t="str">
        <f>HYPERLINK("https://about.twitter.com/products/tweetdeck","TweetDeck")</f>
        <v>TweetDeck</v>
      </c>
      <c r="L1179" s="13">
        <v>3855</v>
      </c>
      <c r="M1179" s="13">
        <v>3147</v>
      </c>
      <c r="N1179" s="13">
        <v>29</v>
      </c>
      <c r="O1179" s="15"/>
      <c r="P1179" s="6">
        <v>40251.820752314816</v>
      </c>
      <c r="Q1179" s="17" t="s">
        <v>4689</v>
      </c>
      <c r="R1179" s="18" t="s">
        <v>4690</v>
      </c>
      <c r="S1179" s="12"/>
      <c r="T1179" s="12"/>
      <c r="U1179" s="10" t="str">
        <f>HYPERLINK("https://pbs.twimg.com/profile_images/708785800452898816/dQ0erE3m.jpg","View")</f>
        <v>View</v>
      </c>
    </row>
    <row r="1180" spans="1:21" ht="40.799999999999997">
      <c r="A1180" s="6">
        <v>43427.038923611108</v>
      </c>
      <c r="B1180" s="7" t="str">
        <f>HYPERLINK("https://twitter.com/sodio22","@sodio22")</f>
        <v>@sodio22</v>
      </c>
      <c r="C1180" s="8" t="s">
        <v>4691</v>
      </c>
      <c r="D1180" s="9" t="s">
        <v>2091</v>
      </c>
      <c r="E1180" s="10" t="str">
        <f>HYPERLINK("https://twitter.com/sodio22/status/1065755823568314368","1065755823568314368")</f>
        <v>1065755823568314368</v>
      </c>
      <c r="F1180" s="11" t="s">
        <v>2092</v>
      </c>
      <c r="G1180" s="12"/>
      <c r="H1180" s="12"/>
      <c r="I1180" s="13">
        <v>0</v>
      </c>
      <c r="J1180" s="13">
        <v>0</v>
      </c>
      <c r="K1180" s="14" t="str">
        <f>HYPERLINK("http://twitter.com","Twitter Web Client")</f>
        <v>Twitter Web Client</v>
      </c>
      <c r="L1180" s="13">
        <v>339</v>
      </c>
      <c r="M1180" s="13">
        <v>660</v>
      </c>
      <c r="N1180" s="13">
        <v>8</v>
      </c>
      <c r="O1180" s="15"/>
      <c r="P1180" s="6">
        <v>40898.627951388888</v>
      </c>
      <c r="Q1180" s="12"/>
      <c r="R1180" s="18" t="s">
        <v>4692</v>
      </c>
      <c r="S1180" s="12"/>
      <c r="T1180" s="12"/>
      <c r="U1180" s="10" t="str">
        <f>HYPERLINK("https://pbs.twimg.com/profile_images/896939923525251072/2WFW3aE5.jpg","View")</f>
        <v>View</v>
      </c>
    </row>
    <row r="1181" spans="1:21" ht="40.799999999999997">
      <c r="A1181" s="6">
        <v>43427.038912037038</v>
      </c>
      <c r="B1181" s="7" t="str">
        <f>HYPERLINK("https://twitter.com/elestimulo","@elestimulo")</f>
        <v>@elestimulo</v>
      </c>
      <c r="C1181" s="8" t="s">
        <v>1431</v>
      </c>
      <c r="D1181" s="9" t="s">
        <v>1432</v>
      </c>
      <c r="E1181" s="10" t="str">
        <f>HYPERLINK("https://twitter.com/elestimulo/status/1065755816987435008","1065755816987435008")</f>
        <v>1065755816987435008</v>
      </c>
      <c r="F1181" s="11" t="s">
        <v>1433</v>
      </c>
      <c r="G1181" s="11" t="s">
        <v>4693</v>
      </c>
      <c r="H1181" s="12"/>
      <c r="I1181" s="13">
        <v>3</v>
      </c>
      <c r="J1181" s="13">
        <v>1</v>
      </c>
      <c r="K1181" s="14" t="str">
        <f>HYPERLINK("https://buffer.com","Buffer")</f>
        <v>Buffer</v>
      </c>
      <c r="L1181" s="13">
        <v>177191</v>
      </c>
      <c r="M1181" s="13">
        <v>3520</v>
      </c>
      <c r="N1181" s="13">
        <v>1314</v>
      </c>
      <c r="O1181" s="16" t="s">
        <v>26</v>
      </c>
      <c r="P1181" s="6">
        <v>41393.769074074073</v>
      </c>
      <c r="Q1181" s="12"/>
      <c r="R1181" s="18" t="s">
        <v>1434</v>
      </c>
      <c r="S1181" s="11" t="s">
        <v>1435</v>
      </c>
      <c r="T1181" s="12"/>
      <c r="U1181" s="10" t="str">
        <f>HYPERLINK("https://pbs.twimg.com/profile_images/1058387729506017281/joGdI3H4.jpg","View")</f>
        <v>View</v>
      </c>
    </row>
    <row r="1182" spans="1:21" ht="20.399999999999999">
      <c r="A1182" s="6">
        <v>43427.038240740745</v>
      </c>
      <c r="B1182" s="7" t="str">
        <f>HYPERLINK("https://twitter.com/ECEspana","@ECEspana")</f>
        <v>@ECEspana</v>
      </c>
      <c r="C1182" s="8" t="s">
        <v>2268</v>
      </c>
      <c r="D1182" s="9" t="s">
        <v>4695</v>
      </c>
      <c r="E1182" s="10" t="str">
        <f>HYPERLINK("https://twitter.com/ECEspana/status/1065755575084965889","1065755575084965889")</f>
        <v>1065755575084965889</v>
      </c>
      <c r="F1182" s="11" t="s">
        <v>4698</v>
      </c>
      <c r="G1182" s="12"/>
      <c r="H1182" s="12"/>
      <c r="I1182" s="13">
        <v>0</v>
      </c>
      <c r="J1182" s="13">
        <v>1</v>
      </c>
      <c r="K1182" s="14" t="str">
        <f>HYPERLINK("https://dlvrit.com/","dlvr.it")</f>
        <v>dlvr.it</v>
      </c>
      <c r="L1182" s="13">
        <v>1900</v>
      </c>
      <c r="M1182" s="13">
        <v>91</v>
      </c>
      <c r="N1182" s="13">
        <v>84</v>
      </c>
      <c r="O1182" s="15"/>
      <c r="P1182" s="6">
        <v>42291.784953703704</v>
      </c>
      <c r="Q1182" s="17" t="s">
        <v>141</v>
      </c>
      <c r="R1182" s="18" t="s">
        <v>2271</v>
      </c>
      <c r="S1182" s="11" t="s">
        <v>2272</v>
      </c>
      <c r="T1182" s="12"/>
      <c r="U1182" s="10" t="str">
        <f>HYPERLINK("https://pbs.twimg.com/profile_images/831789838693183488/XYTdUPcP.jpg","View")</f>
        <v>View</v>
      </c>
    </row>
    <row r="1183" spans="1:21" ht="20.399999999999999">
      <c r="A1183" s="6">
        <v>43427.038194444445</v>
      </c>
      <c r="B1183" s="7" t="str">
        <f>HYPERLINK("https://twitter.com/eldiarioes","@eldiarioes")</f>
        <v>@eldiarioes</v>
      </c>
      <c r="C1183" s="20" t="s">
        <v>1128</v>
      </c>
      <c r="D1183" s="9" t="s">
        <v>4699</v>
      </c>
      <c r="E1183" s="10" t="str">
        <f>HYPERLINK("https://twitter.com/eldiarioes/status/1065755557376614400","1065755557376614400")</f>
        <v>1065755557376614400</v>
      </c>
      <c r="F1183" s="11" t="s">
        <v>3759</v>
      </c>
      <c r="G1183" s="11" t="s">
        <v>3760</v>
      </c>
      <c r="H1183" s="12"/>
      <c r="I1183" s="13">
        <v>9</v>
      </c>
      <c r="J1183" s="13">
        <v>8</v>
      </c>
      <c r="K1183" s="14" t="str">
        <f>HYPERLINK("https://about.twitter.com/products/tweetdeck","TweetDeck")</f>
        <v>TweetDeck</v>
      </c>
      <c r="L1183" s="13">
        <v>936617</v>
      </c>
      <c r="M1183" s="13">
        <v>456</v>
      </c>
      <c r="N1183" s="13">
        <v>11237</v>
      </c>
      <c r="O1183" s="16" t="s">
        <v>26</v>
      </c>
      <c r="P1183" s="6">
        <v>40992.839189814811</v>
      </c>
      <c r="Q1183" s="12"/>
      <c r="R1183" s="18" t="s">
        <v>1131</v>
      </c>
      <c r="S1183" s="11" t="s">
        <v>1113</v>
      </c>
      <c r="T1183" s="12"/>
      <c r="U1183" s="10" t="str">
        <f>HYPERLINK("https://pbs.twimg.com/profile_images/1016600645292511232/eYIkIK2s.jpg","View")</f>
        <v>View</v>
      </c>
    </row>
    <row r="1184" spans="1:21" ht="40.799999999999997">
      <c r="A1184" s="6">
        <v>43427.037847222222</v>
      </c>
      <c r="B1184" s="7" t="str">
        <f>HYPERLINK("https://twitter.com/waleska0328","@waleska0328")</f>
        <v>@waleska0328</v>
      </c>
      <c r="C1184" s="8" t="s">
        <v>4700</v>
      </c>
      <c r="D1184" s="9" t="s">
        <v>4701</v>
      </c>
      <c r="E1184" s="10" t="str">
        <f>HYPERLINK("https://twitter.com/waleska0328/status/1065755430624919554","1065755430624919554")</f>
        <v>1065755430624919554</v>
      </c>
      <c r="F1184" s="11" t="s">
        <v>2231</v>
      </c>
      <c r="G1184" s="12"/>
      <c r="H1184" s="12"/>
      <c r="I1184" s="13">
        <v>2</v>
      </c>
      <c r="J1184" s="13">
        <v>5</v>
      </c>
      <c r="K1184" s="14" t="str">
        <f>HYPERLINK("http://twitter.com/download/iphone","Twitter for iPhone")</f>
        <v>Twitter for iPhone</v>
      </c>
      <c r="L1184" s="13">
        <v>5274</v>
      </c>
      <c r="M1184" s="13">
        <v>5764</v>
      </c>
      <c r="N1184" s="13">
        <v>30</v>
      </c>
      <c r="O1184" s="15"/>
      <c r="P1184" s="6">
        <v>41686.866712962961</v>
      </c>
      <c r="Q1184" s="17" t="s">
        <v>4702</v>
      </c>
      <c r="R1184" s="18" t="s">
        <v>4703</v>
      </c>
      <c r="S1184" s="12"/>
      <c r="T1184" s="12"/>
      <c r="U1184" s="10" t="str">
        <f>HYPERLINK("https://pbs.twimg.com/profile_images/1065743389033787392/fkqcsxbC.jpg","View")</f>
        <v>View</v>
      </c>
    </row>
    <row r="1185" spans="1:21" ht="40.799999999999997">
      <c r="A1185" s="6">
        <v>43427.037557870368</v>
      </c>
      <c r="B1185" s="7" t="str">
        <f>HYPERLINK("https://twitter.com/PepitaMenaMart1","@PepitaMenaMart1")</f>
        <v>@PepitaMenaMart1</v>
      </c>
      <c r="C1185" s="8" t="s">
        <v>4171</v>
      </c>
      <c r="D1185" s="9" t="s">
        <v>4704</v>
      </c>
      <c r="E1185" s="10" t="str">
        <f>HYPERLINK("https://twitter.com/PepitaMenaMart1/status/1065755325700149248","1065755325700149248")</f>
        <v>1065755325700149248</v>
      </c>
      <c r="F1185" s="17" t="s">
        <v>4705</v>
      </c>
      <c r="G1185" s="12"/>
      <c r="H1185" s="12"/>
      <c r="I1185" s="13">
        <v>0</v>
      </c>
      <c r="J1185" s="13">
        <v>0</v>
      </c>
      <c r="K1185" s="14" t="str">
        <f>HYPERLINK("http://twitter.com/download/android","Twitter for Android")</f>
        <v>Twitter for Android</v>
      </c>
      <c r="L1185" s="13">
        <v>408</v>
      </c>
      <c r="M1185" s="13">
        <v>334</v>
      </c>
      <c r="N1185" s="13">
        <v>1</v>
      </c>
      <c r="O1185" s="15"/>
      <c r="P1185" s="6">
        <v>43124.888506944444</v>
      </c>
      <c r="Q1185" s="17" t="s">
        <v>4175</v>
      </c>
      <c r="R1185" s="18" t="s">
        <v>4176</v>
      </c>
      <c r="S1185" s="12"/>
      <c r="T1185" s="12"/>
      <c r="U1185" s="10" t="str">
        <f>HYPERLINK("https://pbs.twimg.com/profile_images/1053410905311064064/xChXdA8v.jpg","View")</f>
        <v>View</v>
      </c>
    </row>
    <row r="1186" spans="1:21" ht="40.799999999999997">
      <c r="A1186" s="6">
        <v>43427.035266203704</v>
      </c>
      <c r="B1186" s="7" t="str">
        <f>HYPERLINK("https://twitter.com/elportaluco","@elportaluco")</f>
        <v>@elportaluco</v>
      </c>
      <c r="C1186" s="8" t="s">
        <v>3971</v>
      </c>
      <c r="D1186" s="9" t="s">
        <v>3972</v>
      </c>
      <c r="E1186" s="10" t="str">
        <f>HYPERLINK("https://twitter.com/elportaluco/status/1065754497782304769","1065754497782304769")</f>
        <v>1065754497782304769</v>
      </c>
      <c r="F1186" s="12"/>
      <c r="G1186" s="11" t="s">
        <v>4706</v>
      </c>
      <c r="H1186" s="12"/>
      <c r="I1186" s="13">
        <v>0</v>
      </c>
      <c r="J1186" s="13">
        <v>0</v>
      </c>
      <c r="K1186" s="14" t="str">
        <f>HYPERLINK("https://ifttt.com","IFTTT")</f>
        <v>IFTTT</v>
      </c>
      <c r="L1186" s="13">
        <v>3578</v>
      </c>
      <c r="M1186" s="13">
        <v>1280</v>
      </c>
      <c r="N1186" s="13">
        <v>109</v>
      </c>
      <c r="O1186" s="15"/>
      <c r="P1186" s="6">
        <v>40096.002349537041</v>
      </c>
      <c r="Q1186" s="17" t="s">
        <v>3974</v>
      </c>
      <c r="R1186" s="18" t="s">
        <v>3975</v>
      </c>
      <c r="S1186" s="11" t="s">
        <v>3976</v>
      </c>
      <c r="T1186" s="12"/>
      <c r="U1186" s="10" t="str">
        <f>HYPERLINK("https://pbs.twimg.com/profile_images/1583693441/el_portaluco_twitter.JPG","View")</f>
        <v>View</v>
      </c>
    </row>
    <row r="1187" spans="1:21" ht="30.6">
      <c r="A1187" s="6">
        <v>43427.034826388888</v>
      </c>
      <c r="B1187" s="7" t="str">
        <f>HYPERLINK("https://twitter.com/bilbao24horas","@bilbao24horas")</f>
        <v>@bilbao24horas</v>
      </c>
      <c r="C1187" s="8" t="s">
        <v>4707</v>
      </c>
      <c r="D1187" s="9" t="s">
        <v>4708</v>
      </c>
      <c r="E1187" s="10" t="str">
        <f>HYPERLINK("https://twitter.com/bilbao24horas/status/1065754335823441921","1065754335823441921")</f>
        <v>1065754335823441921</v>
      </c>
      <c r="F1187" s="11" t="s">
        <v>4709</v>
      </c>
      <c r="G1187" s="12"/>
      <c r="H1187" s="12"/>
      <c r="I1187" s="13">
        <v>0</v>
      </c>
      <c r="J1187" s="13">
        <v>1</v>
      </c>
      <c r="K1187" s="14" t="str">
        <f t="shared" ref="K1187:K1188" si="200">HYPERLINK("http://twitter.com","Twitter Web Client")</f>
        <v>Twitter Web Client</v>
      </c>
      <c r="L1187" s="13">
        <v>5595</v>
      </c>
      <c r="M1187" s="13">
        <v>446</v>
      </c>
      <c r="N1187" s="13">
        <v>136</v>
      </c>
      <c r="O1187" s="15"/>
      <c r="P1187" s="6">
        <v>41085.709675925929</v>
      </c>
      <c r="Q1187" s="17" t="s">
        <v>4707</v>
      </c>
      <c r="R1187" s="18" t="s">
        <v>4710</v>
      </c>
      <c r="S1187" s="11" t="s">
        <v>4711</v>
      </c>
      <c r="T1187" s="12"/>
      <c r="U1187" s="10" t="str">
        <f>HYPERLINK("https://pbs.twimg.com/profile_images/2503931699/y0j1ykoldq6z6fd0b00a.jpeg","View")</f>
        <v>View</v>
      </c>
    </row>
    <row r="1188" spans="1:21" ht="51">
      <c r="A1188" s="6">
        <v>43427.034039351856</v>
      </c>
      <c r="B1188" s="7" t="str">
        <f>HYPERLINK("https://twitter.com/AntoniodlTL","@AntoniodlTL")</f>
        <v>@AntoniodlTL</v>
      </c>
      <c r="C1188" s="8" t="s">
        <v>4712</v>
      </c>
      <c r="D1188" s="9" t="s">
        <v>4713</v>
      </c>
      <c r="E1188" s="10" t="str">
        <f>HYPERLINK("https://twitter.com/AntoniodlTL/status/1065754051034390528","1065754051034390528")</f>
        <v>1065754051034390528</v>
      </c>
      <c r="F1188" s="11" t="s">
        <v>4714</v>
      </c>
      <c r="G1188" s="12"/>
      <c r="H1188" s="12"/>
      <c r="I1188" s="13">
        <v>0</v>
      </c>
      <c r="J1188" s="13">
        <v>0</v>
      </c>
      <c r="K1188" s="14" t="str">
        <f t="shared" si="200"/>
        <v>Twitter Web Client</v>
      </c>
      <c r="L1188" s="13">
        <v>2522</v>
      </c>
      <c r="M1188" s="13">
        <v>1124</v>
      </c>
      <c r="N1188" s="13">
        <v>23</v>
      </c>
      <c r="O1188" s="15"/>
      <c r="P1188" s="6">
        <v>40822.558171296296</v>
      </c>
      <c r="Q1188" s="12"/>
      <c r="R1188" s="18" t="s">
        <v>4715</v>
      </c>
      <c r="S1188" s="12"/>
      <c r="T1188" s="12"/>
      <c r="U1188" s="10" t="str">
        <f>HYPERLINK("https://pbs.twimg.com/profile_images/1019355314032926720/UHt9C8bC.jpg","View")</f>
        <v>View</v>
      </c>
    </row>
    <row r="1189" spans="1:21" ht="40.799999999999997">
      <c r="A1189" s="6">
        <v>43427.033900462964</v>
      </c>
      <c r="B1189" s="7" t="str">
        <f>HYPERLINK("https://twitter.com/CdVSalamanca","@CdVSalamanca")</f>
        <v>@CdVSalamanca</v>
      </c>
      <c r="C1189" s="8" t="s">
        <v>4716</v>
      </c>
      <c r="D1189" s="9" t="s">
        <v>4717</v>
      </c>
      <c r="E1189" s="10" t="str">
        <f>HYPERLINK("https://twitter.com/CdVSalamanca/status/1065754003760398339","1065754003760398339")</f>
        <v>1065754003760398339</v>
      </c>
      <c r="F1189" s="11" t="s">
        <v>4718</v>
      </c>
      <c r="G1189" s="12"/>
      <c r="H1189" s="12"/>
      <c r="I1189" s="13">
        <v>0</v>
      </c>
      <c r="J1189" s="13">
        <v>0</v>
      </c>
      <c r="K1189" s="14" t="str">
        <f>HYPERLINK("http://twitter.com/download/android","Twitter for Android")</f>
        <v>Twitter for Android</v>
      </c>
      <c r="L1189" s="13">
        <v>489</v>
      </c>
      <c r="M1189" s="13">
        <v>181</v>
      </c>
      <c r="N1189" s="13">
        <v>13</v>
      </c>
      <c r="O1189" s="15"/>
      <c r="P1189" s="6">
        <v>42591.559074074074</v>
      </c>
      <c r="Q1189" s="17" t="s">
        <v>4719</v>
      </c>
      <c r="R1189" s="18" t="s">
        <v>4720</v>
      </c>
      <c r="S1189" s="11" t="s">
        <v>4721</v>
      </c>
      <c r="T1189" s="12"/>
      <c r="U1189" s="10" t="str">
        <f>HYPERLINK("https://pbs.twimg.com/profile_images/762980312993390592/1mNP7Zg6.jpg","View")</f>
        <v>View</v>
      </c>
    </row>
    <row r="1190" spans="1:21" ht="40.799999999999997">
      <c r="A1190" s="6">
        <v>43427.033587962964</v>
      </c>
      <c r="B1190" s="7" t="str">
        <f>HYPERLINK("https://twitter.com/la_patilla","@la_patilla")</f>
        <v>@la_patilla</v>
      </c>
      <c r="C1190" s="8" t="s">
        <v>1333</v>
      </c>
      <c r="D1190" s="9" t="s">
        <v>1334</v>
      </c>
      <c r="E1190" s="10" t="str">
        <f>HYPERLINK("https://twitter.com/la_patilla/status/1065753890895863808","1065753890895863808")</f>
        <v>1065753890895863808</v>
      </c>
      <c r="F1190" s="11" t="s">
        <v>1335</v>
      </c>
      <c r="G1190" s="12"/>
      <c r="H1190" s="12"/>
      <c r="I1190" s="13">
        <v>0</v>
      </c>
      <c r="J1190" s="13">
        <v>1</v>
      </c>
      <c r="K1190" s="14" t="str">
        <f>HYPERLINK("https://about.twitter.com/products/tweetdeck","TweetDeck")</f>
        <v>TweetDeck</v>
      </c>
      <c r="L1190" s="13">
        <v>6829404</v>
      </c>
      <c r="M1190" s="13">
        <v>150</v>
      </c>
      <c r="N1190" s="13">
        <v>16420</v>
      </c>
      <c r="O1190" s="16" t="s">
        <v>26</v>
      </c>
      <c r="P1190" s="6">
        <v>40255.626388888893</v>
      </c>
      <c r="Q1190" s="17" t="s">
        <v>104</v>
      </c>
      <c r="R1190" s="18" t="s">
        <v>1336</v>
      </c>
      <c r="S1190" s="11" t="s">
        <v>1337</v>
      </c>
      <c r="T1190" s="12"/>
      <c r="U1190" s="10" t="str">
        <f>HYPERLINK("https://pbs.twimg.com/profile_images/886301529627475969/KslqP3me.jpg","View")</f>
        <v>View</v>
      </c>
    </row>
    <row r="1191" spans="1:21" ht="40.799999999999997">
      <c r="A1191" s="6">
        <v>43427.032372685186</v>
      </c>
      <c r="B1191" s="7" t="str">
        <f>HYPERLINK("https://twitter.com/Bufon_de_Sauron","@Bufon_de_Sauron")</f>
        <v>@Bufon_de_Sauron</v>
      </c>
      <c r="C1191" s="8" t="s">
        <v>4722</v>
      </c>
      <c r="D1191" s="9" t="s">
        <v>4723</v>
      </c>
      <c r="E1191" s="10" t="str">
        <f>HYPERLINK("https://twitter.com/Bufon_de_Sauron/status/1065753447478247425","1065753447478247425")</f>
        <v>1065753447478247425</v>
      </c>
      <c r="F1191" s="11" t="s">
        <v>4724</v>
      </c>
      <c r="G1191" s="11" t="s">
        <v>4725</v>
      </c>
      <c r="H1191" s="12"/>
      <c r="I1191" s="13">
        <v>0</v>
      </c>
      <c r="J1191" s="13">
        <v>0</v>
      </c>
      <c r="K1191" s="14" t="str">
        <f>HYPERLINK("http://twitter.com/download/android","Twitter for Android")</f>
        <v>Twitter for Android</v>
      </c>
      <c r="L1191" s="13">
        <v>684</v>
      </c>
      <c r="M1191" s="13">
        <v>124</v>
      </c>
      <c r="N1191" s="13">
        <v>7</v>
      </c>
      <c r="O1191" s="15"/>
      <c r="P1191" s="6">
        <v>40865.731400462959</v>
      </c>
      <c r="Q1191" s="17" t="s">
        <v>4726</v>
      </c>
      <c r="R1191" s="18" t="s">
        <v>4727</v>
      </c>
      <c r="S1191" s="12"/>
      <c r="T1191" s="12"/>
      <c r="U1191" s="10" t="str">
        <f>HYPERLINK("https://pbs.twimg.com/profile_images/863879231985655808/rI3_zAOa.jpg","View")</f>
        <v>View</v>
      </c>
    </row>
    <row r="1192" spans="1:21" ht="40.799999999999997">
      <c r="A1192" s="6">
        <v>43427.03225694444</v>
      </c>
      <c r="B1192" s="7" t="str">
        <f>HYPERLINK("https://twitter.com/EligioAwiizotl","@EligioAwiizotl")</f>
        <v>@EligioAwiizotl</v>
      </c>
      <c r="C1192" s="8" t="s">
        <v>4728</v>
      </c>
      <c r="D1192" s="9" t="s">
        <v>4602</v>
      </c>
      <c r="E1192" s="10" t="str">
        <f>HYPERLINK("https://twitter.com/EligioAwiizotl/status/1065753407871422464","1065753407871422464")</f>
        <v>1065753407871422464</v>
      </c>
      <c r="F1192" s="11" t="s">
        <v>3789</v>
      </c>
      <c r="G1192" s="12"/>
      <c r="H1192" s="12"/>
      <c r="I1192" s="13">
        <v>1</v>
      </c>
      <c r="J1192" s="13">
        <v>0</v>
      </c>
      <c r="K1192" s="14" t="str">
        <f>HYPERLINK("http://twitter.com/download/iphone","Twitter for iPhone")</f>
        <v>Twitter for iPhone</v>
      </c>
      <c r="L1192" s="13">
        <v>3212</v>
      </c>
      <c r="M1192" s="13">
        <v>4797</v>
      </c>
      <c r="N1192" s="13">
        <v>96</v>
      </c>
      <c r="O1192" s="15"/>
      <c r="P1192" s="6">
        <v>40493.028391203705</v>
      </c>
      <c r="Q1192" s="17" t="s">
        <v>4729</v>
      </c>
      <c r="R1192" s="18" t="s">
        <v>4730</v>
      </c>
      <c r="S1192" s="11" t="s">
        <v>4731</v>
      </c>
      <c r="T1192" s="12"/>
      <c r="U1192" s="10" t="str">
        <f>HYPERLINK("https://pbs.twimg.com/profile_images/960945413556723712/4Vctz03T.jpg","View")</f>
        <v>View</v>
      </c>
    </row>
    <row r="1193" spans="1:21" ht="20.399999999999999">
      <c r="A1193" s="6">
        <v>43427.031944444447</v>
      </c>
      <c r="B1193" s="7" t="str">
        <f>HYPERLINK("https://twitter.com/Moncloa","@Moncloa")</f>
        <v>@Moncloa</v>
      </c>
      <c r="C1193" s="8" t="s">
        <v>1487</v>
      </c>
      <c r="D1193" s="9" t="s">
        <v>4732</v>
      </c>
      <c r="E1193" s="10" t="str">
        <f>HYPERLINK("https://twitter.com/Moncloa/status/1065753292221759488","1065753292221759488")</f>
        <v>1065753292221759488</v>
      </c>
      <c r="F1193" s="11" t="s">
        <v>4733</v>
      </c>
      <c r="G1193" s="12"/>
      <c r="H1193" s="12"/>
      <c r="I1193" s="13">
        <v>0</v>
      </c>
      <c r="J1193" s="13">
        <v>0</v>
      </c>
      <c r="K1193" s="14" t="str">
        <f>HYPERLINK("http://www.gkopu.com/books","MicroContent")</f>
        <v>MicroContent</v>
      </c>
      <c r="L1193" s="13">
        <v>9324</v>
      </c>
      <c r="M1193" s="13">
        <v>1</v>
      </c>
      <c r="N1193" s="13">
        <v>42</v>
      </c>
      <c r="O1193" s="15"/>
      <c r="P1193" s="6">
        <v>40723.496319444443</v>
      </c>
      <c r="Q1193" s="17" t="s">
        <v>28</v>
      </c>
      <c r="R1193" s="18" t="s">
        <v>1490</v>
      </c>
      <c r="S1193" s="12"/>
      <c r="T1193" s="12"/>
      <c r="U1193" s="10" t="str">
        <f>HYPERLINK("https://pbs.twimg.com/profile_images/2272310074/v0xjmozqhpv90d675qs9.jpeg","View")</f>
        <v>View</v>
      </c>
    </row>
    <row r="1194" spans="1:21" ht="40.799999999999997">
      <c r="A1194" s="6">
        <v>43427.031354166669</v>
      </c>
      <c r="B1194" s="7" t="str">
        <f>HYPERLINK("https://twitter.com/kafiat","@kafiat")</f>
        <v>@kafiat</v>
      </c>
      <c r="C1194" s="8" t="s">
        <v>4734</v>
      </c>
      <c r="D1194" s="9" t="s">
        <v>4735</v>
      </c>
      <c r="E1194" s="10" t="str">
        <f>HYPERLINK("https://twitter.com/kafiat/status/1065753078643732480","1065753078643732480")</f>
        <v>1065753078643732480</v>
      </c>
      <c r="F1194" s="11" t="s">
        <v>4736</v>
      </c>
      <c r="G1194" s="12"/>
      <c r="H1194" s="12"/>
      <c r="I1194" s="13">
        <v>22</v>
      </c>
      <c r="J1194" s="13">
        <v>27</v>
      </c>
      <c r="K1194" s="14" t="str">
        <f t="shared" ref="K1194:K1196" si="201">HYPERLINK("http://twitter.com/download/android","Twitter for Android")</f>
        <v>Twitter for Android</v>
      </c>
      <c r="L1194" s="13">
        <v>2904</v>
      </c>
      <c r="M1194" s="13">
        <v>3242</v>
      </c>
      <c r="N1194" s="13">
        <v>42</v>
      </c>
      <c r="O1194" s="15"/>
      <c r="P1194" s="6">
        <v>40630.906828703708</v>
      </c>
      <c r="Q1194" s="17" t="s">
        <v>4737</v>
      </c>
      <c r="R1194" s="18" t="s">
        <v>4738</v>
      </c>
      <c r="S1194" s="12"/>
      <c r="T1194" s="12"/>
      <c r="U1194" s="10" t="str">
        <f>HYPERLINK("https://pbs.twimg.com/profile_images/1026198107971837952/FL4eRcLI.jpg","View")</f>
        <v>View</v>
      </c>
    </row>
    <row r="1195" spans="1:21" ht="71.400000000000006">
      <c r="A1195" s="6">
        <v>43427.031203703707</v>
      </c>
      <c r="B1195" s="7" t="str">
        <f>HYPERLINK("https://twitter.com/estoycontigo__","@estoycontigo__")</f>
        <v>@estoycontigo__</v>
      </c>
      <c r="C1195" s="8" t="s">
        <v>4739</v>
      </c>
      <c r="D1195" s="9" t="s">
        <v>4740</v>
      </c>
      <c r="E1195" s="10" t="str">
        <f>HYPERLINK("https://twitter.com/estoycontigo__/status/1065753025187389440","1065753025187389440")</f>
        <v>1065753025187389440</v>
      </c>
      <c r="F1195" s="11" t="s">
        <v>2984</v>
      </c>
      <c r="G1195" s="12"/>
      <c r="H1195" s="12"/>
      <c r="I1195" s="13">
        <v>0</v>
      </c>
      <c r="J1195" s="13">
        <v>0</v>
      </c>
      <c r="K1195" s="14" t="str">
        <f t="shared" si="201"/>
        <v>Twitter for Android</v>
      </c>
      <c r="L1195" s="13">
        <v>2749</v>
      </c>
      <c r="M1195" s="13">
        <v>2131</v>
      </c>
      <c r="N1195" s="13">
        <v>36</v>
      </c>
      <c r="O1195" s="15"/>
      <c r="P1195" s="6">
        <v>42203.452002314814</v>
      </c>
      <c r="Q1195" s="17" t="s">
        <v>4741</v>
      </c>
      <c r="R1195" s="18" t="s">
        <v>4742</v>
      </c>
      <c r="S1195" s="12"/>
      <c r="T1195" s="12"/>
      <c r="U1195" s="10" t="str">
        <f>HYPERLINK("https://pbs.twimg.com/profile_images/805391848323907584/e35bzUTj.jpg","View")</f>
        <v>View</v>
      </c>
    </row>
    <row r="1196" spans="1:21" ht="30.6">
      <c r="A1196" s="6">
        <v>43427.030092592591</v>
      </c>
      <c r="B1196" s="7" t="str">
        <f>HYPERLINK("https://twitter.com/fazuku59","@fazuku59")</f>
        <v>@fazuku59</v>
      </c>
      <c r="C1196" s="8" t="s">
        <v>4743</v>
      </c>
      <c r="D1196" s="9" t="s">
        <v>4744</v>
      </c>
      <c r="E1196" s="10" t="str">
        <f>HYPERLINK("https://twitter.com/fazuku59/status/1065752624190889984","1065752624190889984")</f>
        <v>1065752624190889984</v>
      </c>
      <c r="F1196" s="11" t="s">
        <v>1422</v>
      </c>
      <c r="G1196" s="12"/>
      <c r="H1196" s="12"/>
      <c r="I1196" s="13">
        <v>0</v>
      </c>
      <c r="J1196" s="13">
        <v>0</v>
      </c>
      <c r="K1196" s="14" t="str">
        <f t="shared" si="201"/>
        <v>Twitter for Android</v>
      </c>
      <c r="L1196" s="13">
        <v>1654</v>
      </c>
      <c r="M1196" s="13">
        <v>1688</v>
      </c>
      <c r="N1196" s="13">
        <v>23</v>
      </c>
      <c r="O1196" s="15"/>
      <c r="P1196" s="6">
        <v>40914.05064814815</v>
      </c>
      <c r="Q1196" s="17" t="s">
        <v>202</v>
      </c>
      <c r="R1196" s="18" t="s">
        <v>4745</v>
      </c>
      <c r="S1196" s="12"/>
      <c r="T1196" s="12"/>
      <c r="U1196" s="10" t="str">
        <f>HYPERLINK("https://pbs.twimg.com/profile_images/588371330854219776/IRClGjuh.jpg","View")</f>
        <v>View</v>
      </c>
    </row>
    <row r="1197" spans="1:21" ht="40.799999999999997">
      <c r="A1197" s="6">
        <v>43427.029687499999</v>
      </c>
      <c r="B1197" s="7" t="str">
        <f>HYPERLINK("https://twitter.com/chamberohoy","@chamberohoy")</f>
        <v>@chamberohoy</v>
      </c>
      <c r="C1197" s="8" t="s">
        <v>4746</v>
      </c>
      <c r="D1197" s="9" t="s">
        <v>4747</v>
      </c>
      <c r="E1197" s="10" t="str">
        <f>HYPERLINK("https://twitter.com/chamberohoy/status/1065752476484284417","1065752476484284417")</f>
        <v>1065752476484284417</v>
      </c>
      <c r="F1197" s="12"/>
      <c r="G1197" s="11" t="s">
        <v>4513</v>
      </c>
      <c r="H1197" s="12"/>
      <c r="I1197" s="13">
        <v>22</v>
      </c>
      <c r="J1197" s="13">
        <v>37</v>
      </c>
      <c r="K1197" s="14" t="str">
        <f>HYPERLINK("http://twitter.com","Twitter Web Client")</f>
        <v>Twitter Web Client</v>
      </c>
      <c r="L1197" s="13">
        <v>6684</v>
      </c>
      <c r="M1197" s="13">
        <v>7102</v>
      </c>
      <c r="N1197" s="13">
        <v>61</v>
      </c>
      <c r="O1197" s="15"/>
      <c r="P1197" s="6">
        <v>42368.03943287037</v>
      </c>
      <c r="Q1197" s="17" t="s">
        <v>4748</v>
      </c>
      <c r="R1197" s="18" t="s">
        <v>4749</v>
      </c>
      <c r="S1197" s="12"/>
      <c r="T1197" s="12"/>
      <c r="U1197" s="10" t="str">
        <f>HYPERLINK("https://pbs.twimg.com/profile_images/693261221080924160/caXvSr0G.jpg","View")</f>
        <v>View</v>
      </c>
    </row>
    <row r="1198" spans="1:21" ht="40.799999999999997">
      <c r="A1198" s="6">
        <v>43427.028321759259</v>
      </c>
      <c r="B1198" s="7" t="str">
        <f>HYPERLINK("https://twitter.com/la_patilla","@la_patilla")</f>
        <v>@la_patilla</v>
      </c>
      <c r="C1198" s="8" t="s">
        <v>1333</v>
      </c>
      <c r="D1198" s="9" t="s">
        <v>1334</v>
      </c>
      <c r="E1198" s="10" t="str">
        <f>HYPERLINK("https://twitter.com/la_patilla/status/1065751981510336513","1065751981510336513")</f>
        <v>1065751981510336513</v>
      </c>
      <c r="F1198" s="11" t="s">
        <v>1335</v>
      </c>
      <c r="G1198" s="12"/>
      <c r="H1198" s="12"/>
      <c r="I1198" s="13">
        <v>1</v>
      </c>
      <c r="J1198" s="13">
        <v>0</v>
      </c>
      <c r="K1198" s="14" t="str">
        <f>HYPERLINK("https://about.twitter.com/products/tweetdeck","TweetDeck")</f>
        <v>TweetDeck</v>
      </c>
      <c r="L1198" s="13">
        <v>6829404</v>
      </c>
      <c r="M1198" s="13">
        <v>150</v>
      </c>
      <c r="N1198" s="13">
        <v>16420</v>
      </c>
      <c r="O1198" s="16" t="s">
        <v>26</v>
      </c>
      <c r="P1198" s="6">
        <v>40255.626388888893</v>
      </c>
      <c r="Q1198" s="17" t="s">
        <v>104</v>
      </c>
      <c r="R1198" s="18" t="s">
        <v>1336</v>
      </c>
      <c r="S1198" s="11" t="s">
        <v>1337</v>
      </c>
      <c r="T1198" s="12"/>
      <c r="U1198" s="10" t="str">
        <f>HYPERLINK("https://pbs.twimg.com/profile_images/886301529627475969/KslqP3me.jpg","View")</f>
        <v>View</v>
      </c>
    </row>
    <row r="1199" spans="1:21" ht="51">
      <c r="A1199" s="6">
        <v>43427.027372685188</v>
      </c>
      <c r="B1199" s="7" t="str">
        <f>HYPERLINK("https://twitter.com/cronostiempo","@cronostiempo")</f>
        <v>@cronostiempo</v>
      </c>
      <c r="C1199" s="8" t="s">
        <v>4075</v>
      </c>
      <c r="D1199" s="9" t="s">
        <v>4750</v>
      </c>
      <c r="E1199" s="10" t="str">
        <f>HYPERLINK("https://twitter.com/cronostiempo/status/1065751636562325511","1065751636562325511")</f>
        <v>1065751636562325511</v>
      </c>
      <c r="F1199" s="11" t="s">
        <v>4751</v>
      </c>
      <c r="G1199" s="12"/>
      <c r="H1199" s="12"/>
      <c r="I1199" s="13">
        <v>0</v>
      </c>
      <c r="J1199" s="13">
        <v>0</v>
      </c>
      <c r="K1199" s="14" t="str">
        <f>HYPERLINK("https://ifttt.com","IFTTT")</f>
        <v>IFTTT</v>
      </c>
      <c r="L1199" s="13">
        <v>310</v>
      </c>
      <c r="M1199" s="13">
        <v>134</v>
      </c>
      <c r="N1199" s="13">
        <v>12</v>
      </c>
      <c r="O1199" s="15"/>
      <c r="P1199" s="6">
        <v>39734.662152777775</v>
      </c>
      <c r="Q1199" s="17" t="s">
        <v>4076</v>
      </c>
      <c r="R1199" s="18" t="s">
        <v>4077</v>
      </c>
      <c r="S1199" s="11" t="s">
        <v>4078</v>
      </c>
      <c r="T1199" s="12"/>
      <c r="U1199" s="10" t="str">
        <f>HYPERLINK("https://pbs.twimg.com/profile_images/1621175937/cuba-cielo.jpg","View")</f>
        <v>View</v>
      </c>
    </row>
    <row r="1200" spans="1:21" ht="30.6">
      <c r="A1200" s="6">
        <v>43427.027199074073</v>
      </c>
      <c r="B1200" s="7" t="str">
        <f>HYPERLINK("https://twitter.com/fazuku59","@fazuku59")</f>
        <v>@fazuku59</v>
      </c>
      <c r="C1200" s="8" t="s">
        <v>4743</v>
      </c>
      <c r="D1200" s="9" t="s">
        <v>4752</v>
      </c>
      <c r="E1200" s="10" t="str">
        <f>HYPERLINK("https://twitter.com/fazuku59/status/1065751574516064256","1065751574516064256")</f>
        <v>1065751574516064256</v>
      </c>
      <c r="F1200" s="11" t="s">
        <v>4753</v>
      </c>
      <c r="G1200" s="12"/>
      <c r="H1200" s="12"/>
      <c r="I1200" s="13">
        <v>0</v>
      </c>
      <c r="J1200" s="13">
        <v>0</v>
      </c>
      <c r="K1200" s="14" t="str">
        <f>HYPERLINK("http://twitter.com/download/android","Twitter for Android")</f>
        <v>Twitter for Android</v>
      </c>
      <c r="L1200" s="13">
        <v>1654</v>
      </c>
      <c r="M1200" s="13">
        <v>1688</v>
      </c>
      <c r="N1200" s="13">
        <v>23</v>
      </c>
      <c r="O1200" s="15"/>
      <c r="P1200" s="6">
        <v>40914.05064814815</v>
      </c>
      <c r="Q1200" s="17" t="s">
        <v>202</v>
      </c>
      <c r="R1200" s="18" t="s">
        <v>4745</v>
      </c>
      <c r="S1200" s="12"/>
      <c r="T1200" s="12"/>
      <c r="U1200" s="10" t="str">
        <f>HYPERLINK("https://pbs.twimg.com/profile_images/588371330854219776/IRClGjuh.jpg","View")</f>
        <v>View</v>
      </c>
    </row>
    <row r="1201" spans="1:21" ht="51">
      <c r="A1201" s="6">
        <v>43427.025902777779</v>
      </c>
      <c r="B1201" s="7" t="str">
        <f>HYPERLINK("https://twitter.com/germargheritti","@germargheritti")</f>
        <v>@germargheritti</v>
      </c>
      <c r="C1201" s="8" t="s">
        <v>709</v>
      </c>
      <c r="D1201" s="9" t="s">
        <v>4754</v>
      </c>
      <c r="E1201" s="10" t="str">
        <f>HYPERLINK("https://twitter.com/germargheritti/status/1065751102472232960","1065751102472232960")</f>
        <v>1065751102472232960</v>
      </c>
      <c r="F1201" s="12"/>
      <c r="G1201" s="12"/>
      <c r="H1201" s="12"/>
      <c r="I1201" s="13">
        <v>0</v>
      </c>
      <c r="J1201" s="13">
        <v>0</v>
      </c>
      <c r="K1201" s="14" t="str">
        <f>HYPERLINK("http://www.facebook.com/twitter","Facebook")</f>
        <v>Facebook</v>
      </c>
      <c r="L1201" s="13">
        <v>1352</v>
      </c>
      <c r="M1201" s="13">
        <v>2305</v>
      </c>
      <c r="N1201" s="13">
        <v>7</v>
      </c>
      <c r="O1201" s="15"/>
      <c r="P1201" s="6">
        <v>40322.295324074075</v>
      </c>
      <c r="Q1201" s="17" t="s">
        <v>711</v>
      </c>
      <c r="R1201" s="18" t="s">
        <v>712</v>
      </c>
      <c r="S1201" s="11" t="s">
        <v>713</v>
      </c>
      <c r="T1201" s="12"/>
      <c r="U1201" s="10" t="str">
        <f>HYPERLINK("https://pbs.twimg.com/profile_images/451354298362765314/cz5ai8fM.jpeg","View")</f>
        <v>View</v>
      </c>
    </row>
    <row r="1202" spans="1:21" ht="20.399999999999999">
      <c r="A1202" s="6">
        <v>43427.02542824074</v>
      </c>
      <c r="B1202" s="7" t="str">
        <f>HYPERLINK("https://twitter.com/NDtitulares","@NDtitulares")</f>
        <v>@NDtitulares</v>
      </c>
      <c r="C1202" s="8" t="s">
        <v>4166</v>
      </c>
      <c r="D1202" s="9" t="s">
        <v>3190</v>
      </c>
      <c r="E1202" s="10" t="str">
        <f>HYPERLINK("https://twitter.com/NDtitulares/status/1065750930052669440","1065750930052669440")</f>
        <v>1065750930052669440</v>
      </c>
      <c r="F1202" s="11" t="s">
        <v>3191</v>
      </c>
      <c r="G1202" s="11" t="s">
        <v>4755</v>
      </c>
      <c r="H1202" s="12"/>
      <c r="I1202" s="13">
        <v>0</v>
      </c>
      <c r="J1202" s="13">
        <v>0</v>
      </c>
      <c r="K1202" s="14" t="str">
        <f>HYPERLINK("http://www.noticierodigital.com","PublicarTuitsDesdeWP")</f>
        <v>PublicarTuitsDesdeWP</v>
      </c>
      <c r="L1202" s="13">
        <v>717211</v>
      </c>
      <c r="M1202" s="13">
        <v>1611</v>
      </c>
      <c r="N1202" s="13">
        <v>3756</v>
      </c>
      <c r="O1202" s="15"/>
      <c r="P1202" s="6">
        <v>39930.715879629628</v>
      </c>
      <c r="Q1202" s="17" t="s">
        <v>104</v>
      </c>
      <c r="R1202" s="18" t="s">
        <v>4167</v>
      </c>
      <c r="S1202" s="11" t="s">
        <v>4168</v>
      </c>
      <c r="T1202" s="12"/>
      <c r="U1202" s="10" t="str">
        <f>HYPERLINK("https://pbs.twimg.com/profile_images/875451743815053313/Xr2jDG9I.jpg","View")</f>
        <v>View</v>
      </c>
    </row>
    <row r="1203" spans="1:21" ht="40.799999999999997">
      <c r="A1203" s="6">
        <v>43427.024305555555</v>
      </c>
      <c r="B1203" s="7" t="str">
        <f>HYPERLINK("https://twitter.com/gojammaj","@gojammaj")</f>
        <v>@gojammaj</v>
      </c>
      <c r="C1203" s="8" t="s">
        <v>4688</v>
      </c>
      <c r="D1203" s="9" t="s">
        <v>232</v>
      </c>
      <c r="E1203" s="10" t="str">
        <f>HYPERLINK("https://twitter.com/gojammaj/status/1065750524996329474","1065750524996329474")</f>
        <v>1065750524996329474</v>
      </c>
      <c r="F1203" s="11" t="s">
        <v>233</v>
      </c>
      <c r="G1203" s="12"/>
      <c r="H1203" s="12"/>
      <c r="I1203" s="13">
        <v>0</v>
      </c>
      <c r="J1203" s="13">
        <v>0</v>
      </c>
      <c r="K1203" s="14" t="str">
        <f>HYPERLINK("https://about.twitter.com/products/tweetdeck","TweetDeck")</f>
        <v>TweetDeck</v>
      </c>
      <c r="L1203" s="13">
        <v>3855</v>
      </c>
      <c r="M1203" s="13">
        <v>3147</v>
      </c>
      <c r="N1203" s="13">
        <v>29</v>
      </c>
      <c r="O1203" s="15"/>
      <c r="P1203" s="6">
        <v>40251.820752314816</v>
      </c>
      <c r="Q1203" s="17" t="s">
        <v>4689</v>
      </c>
      <c r="R1203" s="18" t="s">
        <v>4690</v>
      </c>
      <c r="S1203" s="12"/>
      <c r="T1203" s="12"/>
      <c r="U1203" s="10" t="str">
        <f>HYPERLINK("https://pbs.twimg.com/profile_images/708785800452898816/dQ0erE3m.jpg","View")</f>
        <v>View</v>
      </c>
    </row>
    <row r="1204" spans="1:21" ht="51">
      <c r="A1204" s="6">
        <v>43427.023125</v>
      </c>
      <c r="B1204" s="7" t="str">
        <f>HYPERLINK("https://twitter.com/mule_moya","@mule_moya")</f>
        <v>@mule_moya</v>
      </c>
      <c r="C1204" s="8" t="s">
        <v>4756</v>
      </c>
      <c r="D1204" s="9" t="s">
        <v>4757</v>
      </c>
      <c r="E1204" s="10" t="str">
        <f>HYPERLINK("https://twitter.com/mule_moya/status/1065750097617698816","1065750097617698816")</f>
        <v>1065750097617698816</v>
      </c>
      <c r="F1204" s="12"/>
      <c r="G1204" s="12"/>
      <c r="H1204" s="12"/>
      <c r="I1204" s="13">
        <v>0</v>
      </c>
      <c r="J1204" s="13">
        <v>0</v>
      </c>
      <c r="K1204" s="14" t="str">
        <f>HYPERLINK("http://twitter.com/download/android","Twitter for Android")</f>
        <v>Twitter for Android</v>
      </c>
      <c r="L1204" s="13">
        <v>196</v>
      </c>
      <c r="M1204" s="13">
        <v>433</v>
      </c>
      <c r="N1204" s="13">
        <v>4</v>
      </c>
      <c r="O1204" s="15"/>
      <c r="P1204" s="6">
        <v>40960.379479166666</v>
      </c>
      <c r="Q1204" s="12"/>
      <c r="R1204" s="18" t="s">
        <v>4758</v>
      </c>
      <c r="S1204" s="12"/>
      <c r="T1204" s="12"/>
      <c r="U1204" s="10" t="str">
        <f>HYPERLINK("https://pbs.twimg.com/profile_images/747900508866641920/EZO88-mv.jpg","View")</f>
        <v>View</v>
      </c>
    </row>
    <row r="1205" spans="1:21" ht="40.799999999999997">
      <c r="A1205" s="6">
        <v>43427.023113425923</v>
      </c>
      <c r="B1205" s="7" t="str">
        <f>HYPERLINK("https://twitter.com/Canal_Z_","@Canal_Z_")</f>
        <v>@Canal_Z_</v>
      </c>
      <c r="C1205" s="8" t="s">
        <v>4320</v>
      </c>
      <c r="D1205" s="9" t="s">
        <v>4575</v>
      </c>
      <c r="E1205" s="10" t="str">
        <f>HYPERLINK("https://twitter.com/Canal_Z_/status/1065750092894871552","1065750092894871552")</f>
        <v>1065750092894871552</v>
      </c>
      <c r="F1205" s="11" t="s">
        <v>2375</v>
      </c>
      <c r="G1205" s="11" t="s">
        <v>4759</v>
      </c>
      <c r="H1205" s="12"/>
      <c r="I1205" s="13">
        <v>0</v>
      </c>
      <c r="J1205" s="13">
        <v>0</v>
      </c>
      <c r="K1205" s="14" t="str">
        <f>HYPERLINK("http://twitter.com","Twitter Web Client")</f>
        <v>Twitter Web Client</v>
      </c>
      <c r="L1205" s="13">
        <v>2272</v>
      </c>
      <c r="M1205" s="13">
        <v>4991</v>
      </c>
      <c r="N1205" s="13">
        <v>6</v>
      </c>
      <c r="O1205" s="15"/>
      <c r="P1205" s="6">
        <v>41462.275254629625</v>
      </c>
      <c r="Q1205" s="17" t="s">
        <v>28</v>
      </c>
      <c r="R1205" s="18" t="s">
        <v>4322</v>
      </c>
      <c r="S1205" s="12"/>
      <c r="T1205" s="12"/>
      <c r="U1205" s="10" t="str">
        <f>HYPERLINK("https://pbs.twimg.com/profile_images/1008407123242422272/aENpWjy6.jpg","View")</f>
        <v>View</v>
      </c>
    </row>
    <row r="1206" spans="1:21" ht="40.799999999999997">
      <c r="A1206" s="6">
        <v>43427.022905092592</v>
      </c>
      <c r="B1206" s="7" t="str">
        <f>HYPERLINK("https://twitter.com/bechoch","@bechoch")</f>
        <v>@bechoch</v>
      </c>
      <c r="C1206" s="8" t="s">
        <v>4760</v>
      </c>
      <c r="D1206" s="9" t="s">
        <v>4761</v>
      </c>
      <c r="E1206" s="10" t="str">
        <f>HYPERLINK("https://twitter.com/bechoch/status/1065750018672463872","1065750018672463872")</f>
        <v>1065750018672463872</v>
      </c>
      <c r="F1206" s="12"/>
      <c r="G1206" s="12"/>
      <c r="H1206" s="12"/>
      <c r="I1206" s="13">
        <v>0</v>
      </c>
      <c r="J1206" s="13">
        <v>0</v>
      </c>
      <c r="K1206" s="14" t="str">
        <f>HYPERLINK("http://twitter.com/download/android","Twitter for Android")</f>
        <v>Twitter for Android</v>
      </c>
      <c r="L1206" s="13">
        <v>1542</v>
      </c>
      <c r="M1206" s="13">
        <v>1494</v>
      </c>
      <c r="N1206" s="13">
        <v>33</v>
      </c>
      <c r="O1206" s="15"/>
      <c r="P1206" s="6">
        <v>41395.532870370371</v>
      </c>
      <c r="Q1206" s="12"/>
      <c r="R1206" s="18" t="s">
        <v>4762</v>
      </c>
      <c r="S1206" s="12"/>
      <c r="T1206" s="12"/>
      <c r="U1206" s="10" t="str">
        <f>HYPERLINK("https://pbs.twimg.com/profile_images/898575706136989697/2lWLxVVC.jpg","View")</f>
        <v>View</v>
      </c>
    </row>
    <row r="1207" spans="1:21" ht="20.399999999999999">
      <c r="A1207" s="6">
        <v>43427.022824074069</v>
      </c>
      <c r="B1207" s="7" t="str">
        <f>HYPERLINK("https://twitter.com/aguilariera","@aguilariera")</f>
        <v>@aguilariera</v>
      </c>
      <c r="C1207" s="8" t="s">
        <v>4763</v>
      </c>
      <c r="D1207" s="9" t="s">
        <v>4764</v>
      </c>
      <c r="E1207" s="10" t="str">
        <f>HYPERLINK("https://twitter.com/aguilariera/status/1065749987059998720","1065749987059998720")</f>
        <v>1065749987059998720</v>
      </c>
      <c r="F1207" s="12"/>
      <c r="G1207" s="12"/>
      <c r="H1207" s="12"/>
      <c r="I1207" s="13">
        <v>0</v>
      </c>
      <c r="J1207" s="13">
        <v>0</v>
      </c>
      <c r="K1207" s="14" t="str">
        <f>HYPERLINK("http://twitter.com","Twitter Web Client")</f>
        <v>Twitter Web Client</v>
      </c>
      <c r="L1207" s="13">
        <v>18</v>
      </c>
      <c r="M1207" s="13">
        <v>74</v>
      </c>
      <c r="N1207" s="13">
        <v>0</v>
      </c>
      <c r="O1207" s="15"/>
      <c r="P1207" s="6">
        <v>40491.665810185186</v>
      </c>
      <c r="Q1207" s="17" t="s">
        <v>4765</v>
      </c>
      <c r="R1207" s="18" t="s">
        <v>4766</v>
      </c>
      <c r="S1207" s="12"/>
      <c r="T1207" s="12"/>
      <c r="U1207" s="10" t="str">
        <f>HYPERLINK("https://pbs.twimg.com/profile_images/972213084864397312/ZufBCSM0.jpg","View")</f>
        <v>View</v>
      </c>
    </row>
    <row r="1208" spans="1:21" ht="51">
      <c r="A1208" s="6">
        <v>43427.022337962961</v>
      </c>
      <c r="B1208" s="7" t="str">
        <f>HYPERLINK("https://twitter.com/EdJorgePrats","@EdJorgePrats")</f>
        <v>@EdJorgePrats</v>
      </c>
      <c r="C1208" s="8" t="s">
        <v>4767</v>
      </c>
      <c r="D1208" s="9" t="s">
        <v>4768</v>
      </c>
      <c r="E1208" s="10" t="str">
        <f>HYPERLINK("https://twitter.com/EdJorgePrats/status/1065749812526616577","1065749812526616577")</f>
        <v>1065749812526616577</v>
      </c>
      <c r="F1208" s="11" t="s">
        <v>4769</v>
      </c>
      <c r="G1208" s="12"/>
      <c r="H1208" s="12"/>
      <c r="I1208" s="13">
        <v>6</v>
      </c>
      <c r="J1208" s="13">
        <v>2</v>
      </c>
      <c r="K1208" s="14" t="str">
        <f>HYPERLINK("http://twitter.com/download/iphone","Twitter for iPhone")</f>
        <v>Twitter for iPhone</v>
      </c>
      <c r="L1208" s="13">
        <v>30488</v>
      </c>
      <c r="M1208" s="13">
        <v>5510</v>
      </c>
      <c r="N1208" s="13">
        <v>107</v>
      </c>
      <c r="O1208" s="15"/>
      <c r="P1208" s="6">
        <v>41225.879282407404</v>
      </c>
      <c r="Q1208" s="17" t="s">
        <v>4770</v>
      </c>
      <c r="R1208" s="18" t="s">
        <v>4771</v>
      </c>
      <c r="S1208" s="11" t="s">
        <v>4772</v>
      </c>
      <c r="T1208" s="12"/>
      <c r="U1208" s="10" t="str">
        <f>HYPERLINK("https://pbs.twimg.com/profile_images/1039488409935470592/5EXExAFF.jpg","View")</f>
        <v>View</v>
      </c>
    </row>
    <row r="1209" spans="1:21" ht="30.6">
      <c r="A1209" s="6">
        <v>43427.022280092591</v>
      </c>
      <c r="B1209" s="7" t="str">
        <f>HYPERLINK("https://twitter.com/grettaespinosa","@grettaespinosa")</f>
        <v>@grettaespinosa</v>
      </c>
      <c r="C1209" s="8" t="s">
        <v>4773</v>
      </c>
      <c r="D1209" s="9" t="s">
        <v>4774</v>
      </c>
      <c r="E1209" s="10" t="str">
        <f>HYPERLINK("https://twitter.com/grettaespinosa/status/1065749792893165568","1065749792893165568")</f>
        <v>1065749792893165568</v>
      </c>
      <c r="F1209" s="11" t="s">
        <v>4564</v>
      </c>
      <c r="G1209" s="12"/>
      <c r="H1209" s="12"/>
      <c r="I1209" s="13">
        <v>0</v>
      </c>
      <c r="J1209" s="13">
        <v>0</v>
      </c>
      <c r="K1209" s="14" t="str">
        <f>HYPERLINK("https://ifttt.com","IFTTT")</f>
        <v>IFTTT</v>
      </c>
      <c r="L1209" s="13">
        <v>396</v>
      </c>
      <c r="M1209" s="13">
        <v>215</v>
      </c>
      <c r="N1209" s="13">
        <v>4</v>
      </c>
      <c r="O1209" s="15"/>
      <c r="P1209" s="6">
        <v>40525.866585648146</v>
      </c>
      <c r="Q1209" s="17" t="s">
        <v>2883</v>
      </c>
      <c r="R1209" s="18" t="s">
        <v>4775</v>
      </c>
      <c r="S1209" s="11" t="s">
        <v>4776</v>
      </c>
      <c r="T1209" s="12"/>
      <c r="U1209" s="10" t="str">
        <f>HYPERLINK("https://pbs.twimg.com/profile_images/2836541186/c5edde543347c43aede7fb873305cdc4.jpeg","View")</f>
        <v>View</v>
      </c>
    </row>
    <row r="1210" spans="1:21" ht="51">
      <c r="A1210" s="6">
        <v>43427.021597222221</v>
      </c>
      <c r="B1210" s="7" t="str">
        <f>HYPERLINK("https://twitter.com/15segunds","@15segunds")</f>
        <v>@15segunds</v>
      </c>
      <c r="C1210" s="8" t="s">
        <v>4777</v>
      </c>
      <c r="D1210" s="9" t="s">
        <v>4778</v>
      </c>
      <c r="E1210" s="10" t="str">
        <f>HYPERLINK("https://twitter.com/15segunds/status/1065749542430113792","1065749542430113792")</f>
        <v>1065749542430113792</v>
      </c>
      <c r="F1210" s="11" t="s">
        <v>4779</v>
      </c>
      <c r="G1210" s="12"/>
      <c r="H1210" s="12"/>
      <c r="I1210" s="13">
        <v>0</v>
      </c>
      <c r="J1210" s="13">
        <v>0</v>
      </c>
      <c r="K1210" s="14" t="str">
        <f>HYPERLINK("https://dlvrit.com/","dlvr.it")</f>
        <v>dlvr.it</v>
      </c>
      <c r="L1210" s="13">
        <v>2493</v>
      </c>
      <c r="M1210" s="13">
        <v>1316</v>
      </c>
      <c r="N1210" s="13">
        <v>18</v>
      </c>
      <c r="O1210" s="15"/>
      <c r="P1210" s="6">
        <v>41203.834861111114</v>
      </c>
      <c r="Q1210" s="17" t="s">
        <v>4780</v>
      </c>
      <c r="R1210" s="21" t="s">
        <v>4781</v>
      </c>
      <c r="S1210" s="11" t="s">
        <v>4781</v>
      </c>
      <c r="T1210" s="12"/>
      <c r="U1210" s="10" t="str">
        <f>HYPERLINK("https://pbs.twimg.com/profile_images/465307463407788032/pXj9TM4X.png","View")</f>
        <v>View</v>
      </c>
    </row>
    <row r="1211" spans="1:21" ht="51">
      <c r="A1211" s="6">
        <v>43427.021527777775</v>
      </c>
      <c r="B1211" s="7" t="str">
        <f>HYPERLINK("https://twitter.com/elnacionalcat_e","@elnacionalcat_e")</f>
        <v>@elnacionalcat_e</v>
      </c>
      <c r="C1211" s="8" t="s">
        <v>3404</v>
      </c>
      <c r="D1211" s="9" t="s">
        <v>4782</v>
      </c>
      <c r="E1211" s="10" t="str">
        <f>HYPERLINK("https://twitter.com/elnacionalcat_e/status/1065749517767569409","1065749517767569409")</f>
        <v>1065749517767569409</v>
      </c>
      <c r="F1211" s="11" t="s">
        <v>4783</v>
      </c>
      <c r="G1211" s="12"/>
      <c r="H1211" s="12"/>
      <c r="I1211" s="13">
        <v>1</v>
      </c>
      <c r="J1211" s="13">
        <v>0</v>
      </c>
      <c r="K1211" s="14" t="str">
        <f>HYPERLINK("https://about.twitter.com/products/tweetdeck","TweetDeck")</f>
        <v>TweetDeck</v>
      </c>
      <c r="L1211" s="13">
        <v>5489</v>
      </c>
      <c r="M1211" s="13">
        <v>355</v>
      </c>
      <c r="N1211" s="13">
        <v>167</v>
      </c>
      <c r="O1211" s="15"/>
      <c r="P1211" s="6">
        <v>42247.840567129635</v>
      </c>
      <c r="Q1211" s="17" t="s">
        <v>3407</v>
      </c>
      <c r="R1211" s="18" t="s">
        <v>3408</v>
      </c>
      <c r="S1211" s="11" t="s">
        <v>3409</v>
      </c>
      <c r="T1211" s="12"/>
      <c r="U1211" s="10" t="str">
        <f>HYPERLINK("https://pbs.twimg.com/profile_images/646298514385960960/VEutSP7L.png","View")</f>
        <v>View</v>
      </c>
    </row>
    <row r="1212" spans="1:21" ht="20.399999999999999">
      <c r="A1212" s="6">
        <v>43427.021481481483</v>
      </c>
      <c r="B1212" s="7" t="str">
        <f>HYPERLINK("https://twitter.com/anonIProvider","@anonIProvider")</f>
        <v>@anonIProvider</v>
      </c>
      <c r="C1212" s="8" t="s">
        <v>4784</v>
      </c>
      <c r="D1212" s="9" t="s">
        <v>4785</v>
      </c>
      <c r="E1212" s="10" t="str">
        <f>HYPERLINK("https://twitter.com/anonIProvider/status/1065749501116329984","1065749501116329984")</f>
        <v>1065749501116329984</v>
      </c>
      <c r="F1212" s="17" t="s">
        <v>4786</v>
      </c>
      <c r="G1212" s="12"/>
      <c r="H1212" s="12"/>
      <c r="I1212" s="13">
        <v>0</v>
      </c>
      <c r="J1212" s="13">
        <v>0</v>
      </c>
      <c r="K1212" s="14" t="str">
        <f>HYPERLINK("http://nuzzel.com/","Nuzzel")</f>
        <v>Nuzzel</v>
      </c>
      <c r="L1212" s="13">
        <v>814</v>
      </c>
      <c r="M1212" s="13">
        <v>1096</v>
      </c>
      <c r="N1212" s="13">
        <v>50</v>
      </c>
      <c r="O1212" s="15"/>
      <c r="P1212" s="6">
        <v>40814.691319444442</v>
      </c>
      <c r="Q1212" s="17" t="s">
        <v>4787</v>
      </c>
      <c r="R1212" s="18" t="s">
        <v>4788</v>
      </c>
      <c r="S1212" s="11" t="s">
        <v>4789</v>
      </c>
      <c r="T1212" s="12"/>
      <c r="U1212" s="10" t="str">
        <f>HYPERLINK("https://pbs.twimg.com/profile_images/847155789202702336/EIZk0WtN.jpg","View")</f>
        <v>View</v>
      </c>
    </row>
    <row r="1213" spans="1:21" ht="20.399999999999999">
      <c r="A1213" s="6">
        <v>43427.021296296298</v>
      </c>
      <c r="B1213" s="7" t="str">
        <f t="shared" ref="B1213:B1214" si="202">HYPERLINK("https://twitter.com/antarenasra","@antarenasra")</f>
        <v>@antarenasra</v>
      </c>
      <c r="C1213" s="8" t="s">
        <v>4790</v>
      </c>
      <c r="D1213" s="9" t="s">
        <v>4791</v>
      </c>
      <c r="E1213" s="10" t="str">
        <f>HYPERLINK("https://twitter.com/antarenasra/status/1065749435953700864","1065749435953700864")</f>
        <v>1065749435953700864</v>
      </c>
      <c r="F1213" s="11" t="s">
        <v>4792</v>
      </c>
      <c r="G1213" s="12"/>
      <c r="H1213" s="12"/>
      <c r="I1213" s="13">
        <v>0</v>
      </c>
      <c r="J1213" s="13">
        <v>1</v>
      </c>
      <c r="K1213" s="14" t="str">
        <f>HYPERLINK("http://www.facebook.com/twitter","Facebook")</f>
        <v>Facebook</v>
      </c>
      <c r="L1213" s="13">
        <v>161</v>
      </c>
      <c r="M1213" s="13">
        <v>345</v>
      </c>
      <c r="N1213" s="13">
        <v>4</v>
      </c>
      <c r="O1213" s="15"/>
      <c r="P1213" s="6">
        <v>40563.416099537033</v>
      </c>
      <c r="Q1213" s="17" t="s">
        <v>4793</v>
      </c>
      <c r="R1213" s="19"/>
      <c r="S1213" s="12"/>
      <c r="T1213" s="12"/>
      <c r="U1213" s="10" t="str">
        <f t="shared" ref="U1213:U1214" si="203">HYPERLINK("https://pbs.twimg.com/profile_images/758090601304879104/2XCpmZrA.jpg","View")</f>
        <v>View</v>
      </c>
    </row>
    <row r="1214" spans="1:21" ht="30.6">
      <c r="A1214" s="6">
        <v>43427.021284722221</v>
      </c>
      <c r="B1214" s="7" t="str">
        <f t="shared" si="202"/>
        <v>@antarenasra</v>
      </c>
      <c r="C1214" s="8" t="s">
        <v>4790</v>
      </c>
      <c r="D1214" s="9" t="s">
        <v>4794</v>
      </c>
      <c r="E1214" s="10" t="str">
        <f>HYPERLINK("https://twitter.com/antarenasra/status/1065749431511863296","1065749431511863296")</f>
        <v>1065749431511863296</v>
      </c>
      <c r="F1214" s="11" t="s">
        <v>4795</v>
      </c>
      <c r="G1214" s="12"/>
      <c r="H1214" s="12"/>
      <c r="I1214" s="13">
        <v>0</v>
      </c>
      <c r="J1214" s="13">
        <v>0</v>
      </c>
      <c r="K1214" s="14" t="str">
        <f>HYPERLINK("http://twitter.com","Twitter Web Client")</f>
        <v>Twitter Web Client</v>
      </c>
      <c r="L1214" s="13">
        <v>161</v>
      </c>
      <c r="M1214" s="13">
        <v>345</v>
      </c>
      <c r="N1214" s="13">
        <v>4</v>
      </c>
      <c r="O1214" s="15"/>
      <c r="P1214" s="6">
        <v>40563.416099537033</v>
      </c>
      <c r="Q1214" s="17" t="s">
        <v>4793</v>
      </c>
      <c r="R1214" s="19"/>
      <c r="S1214" s="12"/>
      <c r="T1214" s="12"/>
      <c r="U1214" s="10" t="str">
        <f t="shared" si="203"/>
        <v>View</v>
      </c>
    </row>
    <row r="1215" spans="1:21" ht="40.799999999999997">
      <c r="A1215" s="6">
        <v>43427.021053240736</v>
      </c>
      <c r="B1215" s="7" t="str">
        <f>HYPERLINK("https://twitter.com/NuevaRevoluci0n","@NuevaRevoluci0n")</f>
        <v>@NuevaRevoluci0n</v>
      </c>
      <c r="C1215" s="20" t="s">
        <v>4796</v>
      </c>
      <c r="D1215" s="9" t="s">
        <v>4797</v>
      </c>
      <c r="E1215" s="10" t="str">
        <f>HYPERLINK("https://twitter.com/NuevaRevoluci0n/status/1065749347395166209","1065749347395166209")</f>
        <v>1065749347395166209</v>
      </c>
      <c r="F1215" s="11" t="s">
        <v>4798</v>
      </c>
      <c r="G1215" s="12"/>
      <c r="H1215" s="12"/>
      <c r="I1215" s="13">
        <v>0</v>
      </c>
      <c r="J1215" s="13">
        <v>0</v>
      </c>
      <c r="K1215" s="14" t="str">
        <f>HYPERLINK("https://buffer.com","Buffer")</f>
        <v>Buffer</v>
      </c>
      <c r="L1215" s="13">
        <v>23285</v>
      </c>
      <c r="M1215" s="13">
        <v>1886</v>
      </c>
      <c r="N1215" s="13">
        <v>351</v>
      </c>
      <c r="O1215" s="15"/>
      <c r="P1215" s="6">
        <v>41991.023240740746</v>
      </c>
      <c r="Q1215" s="17" t="s">
        <v>4799</v>
      </c>
      <c r="R1215" s="18" t="s">
        <v>4800</v>
      </c>
      <c r="S1215" s="11" t="s">
        <v>4801</v>
      </c>
      <c r="T1215" s="12"/>
      <c r="U1215" s="10" t="str">
        <f>HYPERLINK("https://pbs.twimg.com/profile_images/1012299127223439363/5rGUjnKV.jpg","View")</f>
        <v>View</v>
      </c>
    </row>
    <row r="1216" spans="1:21" ht="30.6">
      <c r="A1216" s="6">
        <v>43427.020370370374</v>
      </c>
      <c r="B1216" s="7" t="str">
        <f>HYPERLINK("https://twitter.com/larepublica_pe","@larepublica_pe")</f>
        <v>@larepublica_pe</v>
      </c>
      <c r="C1216" s="8" t="s">
        <v>4802</v>
      </c>
      <c r="D1216" s="9" t="s">
        <v>4803</v>
      </c>
      <c r="E1216" s="10" t="str">
        <f>HYPERLINK("https://twitter.com/larepublica_pe/status/1065749097515270144","1065749097515270144")</f>
        <v>1065749097515270144</v>
      </c>
      <c r="F1216" s="11" t="s">
        <v>4804</v>
      </c>
      <c r="G1216" s="11" t="s">
        <v>4805</v>
      </c>
      <c r="H1216" s="12"/>
      <c r="I1216" s="13">
        <v>3</v>
      </c>
      <c r="J1216" s="13">
        <v>5</v>
      </c>
      <c r="K1216" s="14" t="str">
        <f>HYPERLINK("https://www.hootsuite.com","Hootsuite Inc.")</f>
        <v>Hootsuite Inc.</v>
      </c>
      <c r="L1216" s="13">
        <v>1899827</v>
      </c>
      <c r="M1216" s="13">
        <v>1292</v>
      </c>
      <c r="N1216" s="13">
        <v>4807</v>
      </c>
      <c r="O1216" s="16" t="s">
        <v>26</v>
      </c>
      <c r="P1216" s="6">
        <v>40043.826099537036</v>
      </c>
      <c r="Q1216" s="17" t="s">
        <v>4806</v>
      </c>
      <c r="R1216" s="18" t="s">
        <v>4807</v>
      </c>
      <c r="S1216" s="11" t="s">
        <v>4808</v>
      </c>
      <c r="T1216" s="12"/>
      <c r="U1216" s="10" t="str">
        <f>HYPERLINK("https://pbs.twimg.com/profile_images/1064502823533064192/EHAkD082.jpg","View")</f>
        <v>View</v>
      </c>
    </row>
    <row r="1217" spans="1:21" ht="20.399999999999999">
      <c r="A1217" s="6">
        <v>43427.01966435185</v>
      </c>
      <c r="B1217" s="7" t="str">
        <f>HYPERLINK("https://twitter.com/L20mOtros","@L20mOtros")</f>
        <v>@L20mOtros</v>
      </c>
      <c r="C1217" s="8" t="s">
        <v>4809</v>
      </c>
      <c r="D1217" s="9" t="s">
        <v>4575</v>
      </c>
      <c r="E1217" s="10" t="str">
        <f>HYPERLINK("https://twitter.com/L20mOtros/status/1065748841826271232","1065748841826271232")</f>
        <v>1065748841826271232</v>
      </c>
      <c r="F1217" s="11" t="s">
        <v>4810</v>
      </c>
      <c r="G1217" s="11" t="s">
        <v>4811</v>
      </c>
      <c r="H1217" s="12"/>
      <c r="I1217" s="13">
        <v>0</v>
      </c>
      <c r="J1217" s="13">
        <v>0</v>
      </c>
      <c r="K1217" s="14" t="str">
        <f>HYPERLINK("http://dogtrack.es","DogTrack_Oficial")</f>
        <v>DogTrack_Oficial</v>
      </c>
      <c r="L1217" s="13">
        <v>22</v>
      </c>
      <c r="M1217" s="13">
        <v>8</v>
      </c>
      <c r="N1217" s="13">
        <v>0</v>
      </c>
      <c r="O1217" s="15"/>
      <c r="P1217" s="6">
        <v>41285.602418981478</v>
      </c>
      <c r="Q1217" s="12"/>
      <c r="R1217" s="19"/>
      <c r="S1217" s="11" t="s">
        <v>4812</v>
      </c>
      <c r="T1217" s="12"/>
      <c r="U1217" s="10" t="str">
        <f>HYPERLINK("https://pbs.twimg.com/profile_images/3148562799/6854a445e373c5053b43f5c11d764b41.jpeg","View")</f>
        <v>View</v>
      </c>
    </row>
    <row r="1218" spans="1:21" ht="51">
      <c r="A1218" s="6">
        <v>43427.019513888888</v>
      </c>
      <c r="B1218" s="7" t="str">
        <f>HYPERLINK("https://twitter.com/yoanduar87","@yoanduar87")</f>
        <v>@yoanduar87</v>
      </c>
      <c r="C1218" s="8" t="s">
        <v>4813</v>
      </c>
      <c r="D1218" s="9" t="s">
        <v>4814</v>
      </c>
      <c r="E1218" s="10" t="str">
        <f>HYPERLINK("https://twitter.com/yoanduar87/status/1065748789087166467","1065748789087166467")</f>
        <v>1065748789087166467</v>
      </c>
      <c r="F1218" s="12"/>
      <c r="G1218" s="11" t="s">
        <v>4815</v>
      </c>
      <c r="H1218" s="12"/>
      <c r="I1218" s="13">
        <v>1</v>
      </c>
      <c r="J1218" s="13">
        <v>3</v>
      </c>
      <c r="K1218" s="14" t="str">
        <f>HYPERLINK("http://twitter.com","Twitter Web Client")</f>
        <v>Twitter Web Client</v>
      </c>
      <c r="L1218" s="13">
        <v>251</v>
      </c>
      <c r="M1218" s="13">
        <v>398</v>
      </c>
      <c r="N1218" s="13">
        <v>7</v>
      </c>
      <c r="O1218" s="15"/>
      <c r="P1218" s="6">
        <v>41244.002638888887</v>
      </c>
      <c r="Q1218" s="12"/>
      <c r="R1218" s="18" t="s">
        <v>4816</v>
      </c>
      <c r="S1218" s="12"/>
      <c r="T1218" s="12"/>
      <c r="U1218" s="10" t="str">
        <f>HYPERLINK("https://pbs.twimg.com/profile_images/972635147383140352/r_6lE1zr.jpg","View")</f>
        <v>View</v>
      </c>
    </row>
    <row r="1219" spans="1:21" ht="20.399999999999999">
      <c r="A1219" s="6">
        <v>43427.019236111111</v>
      </c>
      <c r="B1219" s="7" t="str">
        <f>HYPERLINK("https://twitter.com/lore9876","@lore9876")</f>
        <v>@lore9876</v>
      </c>
      <c r="C1219" s="8" t="s">
        <v>4817</v>
      </c>
      <c r="D1219" s="9" t="s">
        <v>4818</v>
      </c>
      <c r="E1219" s="10" t="str">
        <f>HYPERLINK("https://twitter.com/lore9876/status/1065748688700678144","1065748688700678144")</f>
        <v>1065748688700678144</v>
      </c>
      <c r="F1219" s="11" t="s">
        <v>4819</v>
      </c>
      <c r="G1219" s="12"/>
      <c r="H1219" s="12"/>
      <c r="I1219" s="13">
        <v>0</v>
      </c>
      <c r="J1219" s="13">
        <v>0</v>
      </c>
      <c r="K1219" s="14" t="str">
        <f>HYPERLINK("http://twitter.com/download/iphone","Twitter for iPhone")</f>
        <v>Twitter for iPhone</v>
      </c>
      <c r="L1219" s="13">
        <v>1368</v>
      </c>
      <c r="M1219" s="13">
        <v>1381</v>
      </c>
      <c r="N1219" s="13">
        <v>18</v>
      </c>
      <c r="O1219" s="15"/>
      <c r="P1219" s="6">
        <v>40454.712974537033</v>
      </c>
      <c r="Q1219" s="17" t="s">
        <v>72</v>
      </c>
      <c r="R1219" s="18" t="s">
        <v>4820</v>
      </c>
      <c r="S1219" s="12"/>
      <c r="T1219" s="12"/>
      <c r="U1219" s="10" t="str">
        <f>HYPERLINK("https://pbs.twimg.com/profile_images/480427623672451072/JSkCrEzn.jpeg","View")</f>
        <v>View</v>
      </c>
    </row>
    <row r="1220" spans="1:21" ht="81.599999999999994">
      <c r="A1220" s="6">
        <v>43427.019178240742</v>
      </c>
      <c r="B1220" s="7" t="str">
        <f>HYPERLINK("https://twitter.com/eldesoledad","@eldesoledad")</f>
        <v>@eldesoledad</v>
      </c>
      <c r="C1220" s="8" t="s">
        <v>4821</v>
      </c>
      <c r="D1220" s="9" t="s">
        <v>4822</v>
      </c>
      <c r="E1220" s="10" t="str">
        <f>HYPERLINK("https://twitter.com/eldesoledad/status/1065748666344968192","1065748666344968192")</f>
        <v>1065748666344968192</v>
      </c>
      <c r="F1220" s="11" t="s">
        <v>2429</v>
      </c>
      <c r="G1220" s="12"/>
      <c r="H1220" s="12"/>
      <c r="I1220" s="13">
        <v>0</v>
      </c>
      <c r="J1220" s="13">
        <v>0</v>
      </c>
      <c r="K1220" s="14" t="str">
        <f>HYPERLINK("http://twitter.com/download/android","Twitter for Android")</f>
        <v>Twitter for Android</v>
      </c>
      <c r="L1220" s="13">
        <v>670</v>
      </c>
      <c r="M1220" s="13">
        <v>2180</v>
      </c>
      <c r="N1220" s="13">
        <v>3</v>
      </c>
      <c r="O1220" s="15"/>
      <c r="P1220" s="6">
        <v>40552.807754629626</v>
      </c>
      <c r="Q1220" s="12"/>
      <c r="R1220" s="18" t="s">
        <v>4823</v>
      </c>
      <c r="S1220" s="12"/>
      <c r="T1220" s="12"/>
      <c r="U1220" s="10" t="str">
        <f>HYPERLINK("https://pbs.twimg.com/profile_images/513467233725853696/kcZCJCbe.jpeg","View")</f>
        <v>View</v>
      </c>
    </row>
    <row r="1221" spans="1:21" ht="13.2">
      <c r="A1221" s="6">
        <v>43427.018333333333</v>
      </c>
      <c r="B1221" s="7" t="str">
        <f>HYPERLINK("https://twitter.com/duquevargasj4","@duquevargasj4")</f>
        <v>@duquevargasj4</v>
      </c>
      <c r="C1221" s="8" t="s">
        <v>4824</v>
      </c>
      <c r="D1221" s="9" t="s">
        <v>832</v>
      </c>
      <c r="E1221" s="10" t="str">
        <f>HYPERLINK("https://twitter.com/duquevargasj4/status/1065748362148945920","1065748362148945920")</f>
        <v>1065748362148945920</v>
      </c>
      <c r="F1221" s="11" t="s">
        <v>4825</v>
      </c>
      <c r="G1221" s="12"/>
      <c r="H1221" s="12"/>
      <c r="I1221" s="13">
        <v>0</v>
      </c>
      <c r="J1221" s="13">
        <v>0</v>
      </c>
      <c r="K1221" s="14" t="str">
        <f>HYPERLINK("https://ifttt.com","IFTTT")</f>
        <v>IFTTT</v>
      </c>
      <c r="L1221" s="13">
        <v>884</v>
      </c>
      <c r="M1221" s="13">
        <v>1066</v>
      </c>
      <c r="N1221" s="13">
        <v>2</v>
      </c>
      <c r="O1221" s="15"/>
      <c r="P1221" s="6">
        <v>42905.63989583333</v>
      </c>
      <c r="Q1221" s="17" t="s">
        <v>104</v>
      </c>
      <c r="R1221" s="18" t="s">
        <v>4826</v>
      </c>
      <c r="S1221" s="12"/>
      <c r="T1221" s="12"/>
      <c r="U1221" s="10" t="str">
        <f>HYPERLINK("https://pbs.twimg.com/profile_images/973589629629816832/UJBLpjYL.jpg","View")</f>
        <v>View</v>
      </c>
    </row>
    <row r="1222" spans="1:21" ht="13.2">
      <c r="A1222" s="6">
        <v>43427.018194444448</v>
      </c>
      <c r="B1222" s="7" t="str">
        <f>HYPERLINK("https://twitter.com/alav2012","@alav2012")</f>
        <v>@alav2012</v>
      </c>
      <c r="C1222" s="8" t="s">
        <v>4827</v>
      </c>
      <c r="D1222" s="9" t="s">
        <v>2295</v>
      </c>
      <c r="E1222" s="10" t="str">
        <f>HYPERLINK("https://twitter.com/alav2012/status/1065748310387015680","1065748310387015680")</f>
        <v>1065748310387015680</v>
      </c>
      <c r="F1222" s="11" t="s">
        <v>3960</v>
      </c>
      <c r="G1222" s="12"/>
      <c r="H1222" s="12"/>
      <c r="I1222" s="13">
        <v>0</v>
      </c>
      <c r="J1222" s="13">
        <v>0</v>
      </c>
      <c r="K1222" s="14" t="str">
        <f>HYPERLINK("http://twitter.com/download/android","Twitter for Android")</f>
        <v>Twitter for Android</v>
      </c>
      <c r="L1222" s="13">
        <v>13074</v>
      </c>
      <c r="M1222" s="13">
        <v>13760</v>
      </c>
      <c r="N1222" s="13">
        <v>24</v>
      </c>
      <c r="O1222" s="15"/>
      <c r="P1222" s="6">
        <v>41252.014976851853</v>
      </c>
      <c r="Q1222" s="17" t="s">
        <v>4828</v>
      </c>
      <c r="R1222" s="19"/>
      <c r="S1222" s="12"/>
      <c r="T1222" s="12"/>
      <c r="U1222" s="10" t="str">
        <f>HYPERLINK("https://pbs.twimg.com/profile_images/2953608355/4490ac1b835f73e3cd80ddf8d395257b.jpeg","View")</f>
        <v>View</v>
      </c>
    </row>
    <row r="1223" spans="1:21" ht="51">
      <c r="A1223" s="6">
        <v>43427.016400462962</v>
      </c>
      <c r="B1223" s="7" t="str">
        <f>HYPERLINK("https://twitter.com/cristia49638871","@cristia49638871")</f>
        <v>@cristia49638871</v>
      </c>
      <c r="C1223" s="8" t="s">
        <v>4829</v>
      </c>
      <c r="D1223" s="9" t="s">
        <v>4830</v>
      </c>
      <c r="E1223" s="10" t="str">
        <f>HYPERLINK("https://twitter.com/cristia49638871/status/1065747659871449088","1065747659871449088")</f>
        <v>1065747659871449088</v>
      </c>
      <c r="F1223" s="12"/>
      <c r="G1223" s="12"/>
      <c r="H1223" s="12"/>
      <c r="I1223" s="13">
        <v>0</v>
      </c>
      <c r="J1223" s="13">
        <v>0</v>
      </c>
      <c r="K1223" s="14" t="str">
        <f>HYPERLINK("http://twitter.com","Twitter Web Client")</f>
        <v>Twitter Web Client</v>
      </c>
      <c r="L1223" s="13">
        <v>12</v>
      </c>
      <c r="M1223" s="13">
        <v>570</v>
      </c>
      <c r="N1223" s="13">
        <v>0</v>
      </c>
      <c r="O1223" s="15"/>
      <c r="P1223" s="6">
        <v>41328.625231481477</v>
      </c>
      <c r="Q1223" s="17" t="s">
        <v>2205</v>
      </c>
      <c r="R1223" s="19"/>
      <c r="S1223" s="12"/>
      <c r="T1223" s="12"/>
      <c r="U1223" s="10" t="str">
        <f>HYPERLINK("https://pbs.twimg.com/profile_images/3435873974/10d48fbeb25453f6c424ffb99516d193.png","View")</f>
        <v>View</v>
      </c>
    </row>
    <row r="1224" spans="1:21" ht="51">
      <c r="A1224" s="6">
        <v>43427.016365740739</v>
      </c>
      <c r="B1224" s="7" t="str">
        <f>HYPERLINK("https://twitter.com/RafaRochaR11","@RafaRochaR11")</f>
        <v>@RafaRochaR11</v>
      </c>
      <c r="C1224" s="8" t="s">
        <v>4831</v>
      </c>
      <c r="D1224" s="9" t="s">
        <v>4832</v>
      </c>
      <c r="E1224" s="10" t="str">
        <f>HYPERLINK("https://twitter.com/RafaRochaR11/status/1065747648290979841","1065747648290979841")</f>
        <v>1065747648290979841</v>
      </c>
      <c r="F1224" s="12"/>
      <c r="G1224" s="12"/>
      <c r="H1224" s="12"/>
      <c r="I1224" s="13">
        <v>0</v>
      </c>
      <c r="J1224" s="13">
        <v>0</v>
      </c>
      <c r="K1224" s="14" t="str">
        <f>HYPERLINK("http://twitter.com/download/android","Twitter for Android")</f>
        <v>Twitter for Android</v>
      </c>
      <c r="L1224" s="13">
        <v>79</v>
      </c>
      <c r="M1224" s="13">
        <v>562</v>
      </c>
      <c r="N1224" s="13">
        <v>0</v>
      </c>
      <c r="O1224" s="15"/>
      <c r="P1224" s="6">
        <v>40135.426053240742</v>
      </c>
      <c r="Q1224" s="17" t="s">
        <v>1692</v>
      </c>
      <c r="R1224" s="18" t="s">
        <v>4833</v>
      </c>
      <c r="S1224" s="12"/>
      <c r="T1224" s="12"/>
      <c r="U1224" s="10" t="str">
        <f>HYPERLINK("https://pbs.twimg.com/profile_images/1065760899900694528/tHnNSWbw.jpg","View")</f>
        <v>View</v>
      </c>
    </row>
    <row r="1225" spans="1:21" ht="20.399999999999999">
      <c r="A1225" s="6">
        <v>43427.016319444447</v>
      </c>
      <c r="B1225" s="7" t="str">
        <f>HYPERLINK("https://twitter.com/NPI_I","@NPI_I")</f>
        <v>@NPI_I</v>
      </c>
      <c r="C1225" s="8" t="s">
        <v>4834</v>
      </c>
      <c r="D1225" s="9" t="s">
        <v>4835</v>
      </c>
      <c r="E1225" s="10" t="str">
        <f>HYPERLINK("https://twitter.com/NPI_I/status/1065747629492092931","1065747629492092931")</f>
        <v>1065747629492092931</v>
      </c>
      <c r="F1225" s="11" t="s">
        <v>4836</v>
      </c>
      <c r="G1225" s="12"/>
      <c r="H1225" s="12"/>
      <c r="I1225" s="13">
        <v>0</v>
      </c>
      <c r="J1225" s="13">
        <v>0</v>
      </c>
      <c r="K1225" s="14" t="str">
        <f>HYPERLINK("http://twitter.com","Twitter Web Client")</f>
        <v>Twitter Web Client</v>
      </c>
      <c r="L1225" s="13">
        <v>108</v>
      </c>
      <c r="M1225" s="13">
        <v>160</v>
      </c>
      <c r="N1225" s="13">
        <v>1</v>
      </c>
      <c r="O1225" s="15"/>
      <c r="P1225" s="6">
        <v>41872.785925925928</v>
      </c>
      <c r="Q1225" s="12"/>
      <c r="R1225" s="18" t="s">
        <v>4837</v>
      </c>
      <c r="S1225" s="12"/>
      <c r="T1225" s="12"/>
      <c r="U1225" s="10" t="str">
        <f>HYPERLINK("https://pbs.twimg.com/profile_images/1040665941980471297/gKBTux_x.jpg","View")</f>
        <v>View</v>
      </c>
    </row>
    <row r="1226" spans="1:21" ht="20.399999999999999">
      <c r="A1226" s="6">
        <v>43427.016030092593</v>
      </c>
      <c r="B1226" s="7" t="str">
        <f>HYPERLINK("https://twitter.com/CristoFeliz1","@CristoFeliz1")</f>
        <v>@CristoFeliz1</v>
      </c>
      <c r="C1226" s="8" t="s">
        <v>4838</v>
      </c>
      <c r="D1226" s="9" t="s">
        <v>4575</v>
      </c>
      <c r="E1226" s="10" t="str">
        <f>HYPERLINK("https://twitter.com/CristoFeliz1/status/1065747526303735808","1065747526303735808")</f>
        <v>1065747526303735808</v>
      </c>
      <c r="F1226" s="11" t="s">
        <v>4839</v>
      </c>
      <c r="G1226" s="11" t="s">
        <v>4840</v>
      </c>
      <c r="H1226" s="12"/>
      <c r="I1226" s="13">
        <v>0</v>
      </c>
      <c r="J1226" s="13">
        <v>0</v>
      </c>
      <c r="K1226" s="14" t="str">
        <f t="shared" ref="K1226:K1227" si="204">HYPERLINK("https://dlvrit.com/","dlvr.it")</f>
        <v>dlvr.it</v>
      </c>
      <c r="L1226" s="13">
        <v>7046</v>
      </c>
      <c r="M1226" s="13">
        <v>7743</v>
      </c>
      <c r="N1226" s="13">
        <v>561</v>
      </c>
      <c r="O1226" s="15"/>
      <c r="P1226" s="6">
        <v>41186.866469907407</v>
      </c>
      <c r="Q1226" s="17" t="s">
        <v>1354</v>
      </c>
      <c r="R1226" s="18" t="s">
        <v>4841</v>
      </c>
      <c r="S1226" s="12"/>
      <c r="T1226" s="12"/>
      <c r="U1226" s="10" t="str">
        <f>HYPERLINK("https://pbs.twimg.com/profile_images/1002564938911703040/1Wvxy6Jm.jpg","View")</f>
        <v>View</v>
      </c>
    </row>
    <row r="1227" spans="1:21" ht="81.599999999999994">
      <c r="A1227" s="6">
        <v>43427.016018518523</v>
      </c>
      <c r="B1227" s="7" t="str">
        <f>HYPERLINK("https://twitter.com/joveja3","@joveja3")</f>
        <v>@joveja3</v>
      </c>
      <c r="C1227" s="8" t="s">
        <v>4842</v>
      </c>
      <c r="D1227" s="9" t="s">
        <v>4843</v>
      </c>
      <c r="E1227" s="10" t="str">
        <f>HYPERLINK("https://twitter.com/joveja3/status/1065747523925504002","1065747523925504002")</f>
        <v>1065747523925504002</v>
      </c>
      <c r="F1227" s="11" t="s">
        <v>4844</v>
      </c>
      <c r="G1227" s="11" t="s">
        <v>4845</v>
      </c>
      <c r="H1227" s="12"/>
      <c r="I1227" s="13">
        <v>0</v>
      </c>
      <c r="J1227" s="13">
        <v>0</v>
      </c>
      <c r="K1227" s="14" t="str">
        <f t="shared" si="204"/>
        <v>dlvr.it</v>
      </c>
      <c r="L1227" s="13">
        <v>4</v>
      </c>
      <c r="M1227" s="13">
        <v>0</v>
      </c>
      <c r="N1227" s="13">
        <v>0</v>
      </c>
      <c r="O1227" s="15"/>
      <c r="P1227" s="6">
        <v>41870.314155092594</v>
      </c>
      <c r="Q1227" s="17" t="s">
        <v>4846</v>
      </c>
      <c r="R1227" s="18" t="s">
        <v>4847</v>
      </c>
      <c r="S1227" s="11" t="s">
        <v>4848</v>
      </c>
      <c r="T1227" s="12"/>
      <c r="U1227" s="10" t="str">
        <f>HYPERLINK("https://pbs.twimg.com/profile_images/806664005456642049/GvgUDK6B.jpg","View")</f>
        <v>View</v>
      </c>
    </row>
    <row r="1228" spans="1:21" ht="40.799999999999997">
      <c r="A1228" s="6">
        <v>43427.015972222223</v>
      </c>
      <c r="B1228" s="7" t="str">
        <f>HYPERLINK("https://twitter.com/MaraJosMontero4","@MaraJosMontero4")</f>
        <v>@MaraJosMontero4</v>
      </c>
      <c r="C1228" s="8" t="s">
        <v>4849</v>
      </c>
      <c r="D1228" s="9" t="s">
        <v>4850</v>
      </c>
      <c r="E1228" s="10" t="str">
        <f>HYPERLINK("https://twitter.com/MaraJosMontero4/status/1065747506427019264","1065747506427019264")</f>
        <v>1065747506427019264</v>
      </c>
      <c r="F1228" s="12"/>
      <c r="G1228" s="12"/>
      <c r="H1228" s="12"/>
      <c r="I1228" s="13">
        <v>0</v>
      </c>
      <c r="J1228" s="13">
        <v>0</v>
      </c>
      <c r="K1228" s="14" t="str">
        <f>HYPERLINK("http://twitter.com/download/iphone","Twitter for iPhone")</f>
        <v>Twitter for iPhone</v>
      </c>
      <c r="L1228" s="13">
        <v>202</v>
      </c>
      <c r="M1228" s="13">
        <v>600</v>
      </c>
      <c r="N1228" s="13">
        <v>0</v>
      </c>
      <c r="O1228" s="15"/>
      <c r="P1228" s="6">
        <v>43032.082476851851</v>
      </c>
      <c r="Q1228" s="12"/>
      <c r="R1228" s="18" t="s">
        <v>4851</v>
      </c>
      <c r="S1228" s="12"/>
      <c r="T1228" s="12"/>
      <c r="U1228" s="10" t="str">
        <f>HYPERLINK("https://pbs.twimg.com/profile_images/1013800294671626240/MlqYfprU.jpg","View")</f>
        <v>View</v>
      </c>
    </row>
    <row r="1229" spans="1:21" ht="20.399999999999999">
      <c r="A1229" s="6">
        <v>43427.015925925924</v>
      </c>
      <c r="B1229" s="7" t="str">
        <f>HYPERLINK("https://twitter.com/NoticiasVenezue","@NoticiasVenezue")</f>
        <v>@NoticiasVenezue</v>
      </c>
      <c r="C1229" s="8" t="s">
        <v>4070</v>
      </c>
      <c r="D1229" s="9" t="s">
        <v>1334</v>
      </c>
      <c r="E1229" s="10" t="str">
        <f>HYPERLINK("https://twitter.com/NoticiasVenezue/status/1065747488945115136","1065747488945115136")</f>
        <v>1065747488945115136</v>
      </c>
      <c r="F1229" s="11" t="s">
        <v>4852</v>
      </c>
      <c r="G1229" s="11" t="s">
        <v>4853</v>
      </c>
      <c r="H1229" s="12"/>
      <c r="I1229" s="13">
        <v>0</v>
      </c>
      <c r="J1229" s="13">
        <v>0</v>
      </c>
      <c r="K1229" s="14" t="str">
        <f>HYPERLINK("http://publicize.wp.com/","WordPress.com")</f>
        <v>WordPress.com</v>
      </c>
      <c r="L1229" s="13">
        <v>847998</v>
      </c>
      <c r="M1229" s="13">
        <v>107736</v>
      </c>
      <c r="N1229" s="13">
        <v>4005</v>
      </c>
      <c r="O1229" s="16" t="s">
        <v>26</v>
      </c>
      <c r="P1229" s="6">
        <v>39960.368576388893</v>
      </c>
      <c r="Q1229" s="17" t="s">
        <v>383</v>
      </c>
      <c r="R1229" s="18" t="s">
        <v>4073</v>
      </c>
      <c r="S1229" s="11" t="s">
        <v>4074</v>
      </c>
      <c r="T1229" s="12"/>
      <c r="U1229" s="10" t="str">
        <f>HYPERLINK("https://pbs.twimg.com/profile_images/1051102549061849088/xDOWgbtI.jpg","View")</f>
        <v>View</v>
      </c>
    </row>
    <row r="1230" spans="1:21" ht="20.399999999999999">
      <c r="A1230" s="6">
        <v>43427.015648148154</v>
      </c>
      <c r="B1230" s="7" t="str">
        <f>HYPERLINK("https://twitter.com/cubaenmiami","@cubaenmiami")</f>
        <v>@cubaenmiami</v>
      </c>
      <c r="C1230" s="20" t="s">
        <v>4855</v>
      </c>
      <c r="D1230" s="9" t="s">
        <v>361</v>
      </c>
      <c r="E1230" s="10" t="str">
        <f>HYPERLINK("https://twitter.com/cubaenmiami/status/1065747386725748738","1065747386725748738")</f>
        <v>1065747386725748738</v>
      </c>
      <c r="F1230" s="11" t="s">
        <v>362</v>
      </c>
      <c r="G1230" s="12"/>
      <c r="H1230" s="12"/>
      <c r="I1230" s="13">
        <v>0</v>
      </c>
      <c r="J1230" s="13">
        <v>0</v>
      </c>
      <c r="K1230" s="14" t="str">
        <f>HYPERLINK("http://twitter.com","Twitter Web Client")</f>
        <v>Twitter Web Client</v>
      </c>
      <c r="L1230" s="13">
        <v>679</v>
      </c>
      <c r="M1230" s="13">
        <v>207</v>
      </c>
      <c r="N1230" s="13">
        <v>9</v>
      </c>
      <c r="O1230" s="15"/>
      <c r="P1230" s="6">
        <v>39991.675451388888</v>
      </c>
      <c r="Q1230" s="17" t="s">
        <v>839</v>
      </c>
      <c r="R1230" s="18" t="s">
        <v>4856</v>
      </c>
      <c r="S1230" s="11" t="s">
        <v>4857</v>
      </c>
      <c r="T1230" s="12"/>
      <c r="U1230" s="10" t="str">
        <f>HYPERLINK("https://pbs.twimg.com/profile_images/854388494684180480/11bbKy-a.jpg","View")</f>
        <v>View</v>
      </c>
    </row>
    <row r="1231" spans="1:21" ht="20.399999999999999">
      <c r="A1231" s="6">
        <v>43427.01561342593</v>
      </c>
      <c r="B1231" s="7" t="str">
        <f>HYPERLINK("https://twitter.com/Notidiahora","@Notidiahora")</f>
        <v>@Notidiahora</v>
      </c>
      <c r="C1231" s="8" t="s">
        <v>4858</v>
      </c>
      <c r="D1231" s="9" t="s">
        <v>1334</v>
      </c>
      <c r="E1231" s="10" t="str">
        <f>HYPERLINK("https://twitter.com/Notidiahora/status/1065747374373519360","1065747374373519360")</f>
        <v>1065747374373519360</v>
      </c>
      <c r="F1231" s="11" t="s">
        <v>4859</v>
      </c>
      <c r="G1231" s="12"/>
      <c r="H1231" s="12"/>
      <c r="I1231" s="13">
        <v>1</v>
      </c>
      <c r="J1231" s="13">
        <v>0</v>
      </c>
      <c r="K1231" s="14" t="str">
        <f>HYPERLINK("https://about.twitter.com/products/tweetdeck","TweetDeck")</f>
        <v>TweetDeck</v>
      </c>
      <c r="L1231" s="13">
        <v>112527</v>
      </c>
      <c r="M1231" s="13">
        <v>9</v>
      </c>
      <c r="N1231" s="13">
        <v>512</v>
      </c>
      <c r="O1231" s="15"/>
      <c r="P1231" s="6">
        <v>41358.882893518516</v>
      </c>
      <c r="Q1231" s="17" t="s">
        <v>104</v>
      </c>
      <c r="R1231" s="18" t="s">
        <v>4860</v>
      </c>
      <c r="S1231" s="11" t="s">
        <v>4861</v>
      </c>
      <c r="T1231" s="12"/>
      <c r="U1231" s="10" t="str">
        <f>HYPERLINK("https://pbs.twimg.com/profile_images/881964248339017730/3cK56iJB.jpg","View")</f>
        <v>View</v>
      </c>
    </row>
    <row r="1232" spans="1:21" ht="30.6">
      <c r="A1232" s="6">
        <v>43427.014872685184</v>
      </c>
      <c r="B1232" s="7" t="str">
        <f>HYPERLINK("https://twitter.com/BrioEnfurecida","@BrioEnfurecida")</f>
        <v>@BrioEnfurecida</v>
      </c>
      <c r="C1232" s="8" t="s">
        <v>4862</v>
      </c>
      <c r="D1232" s="9" t="s">
        <v>4863</v>
      </c>
      <c r="E1232" s="10" t="str">
        <f>HYPERLINK("https://twitter.com/BrioEnfurecida/status/1065747107590610944","1065747107590610944")</f>
        <v>1065747107590610944</v>
      </c>
      <c r="F1232" s="12"/>
      <c r="G1232" s="12"/>
      <c r="H1232" s="12"/>
      <c r="I1232" s="13">
        <v>7</v>
      </c>
      <c r="J1232" s="13">
        <v>34</v>
      </c>
      <c r="K1232" s="14" t="str">
        <f>HYPERLINK("http://twitter.com/download/iphone","Twitter for iPhone")</f>
        <v>Twitter for iPhone</v>
      </c>
      <c r="L1232" s="13">
        <v>75037</v>
      </c>
      <c r="M1232" s="13">
        <v>541</v>
      </c>
      <c r="N1232" s="13">
        <v>166</v>
      </c>
      <c r="O1232" s="15"/>
      <c r="P1232" s="6">
        <v>41232.97934027778</v>
      </c>
      <c r="Q1232" s="12"/>
      <c r="R1232" s="18" t="s">
        <v>4864</v>
      </c>
      <c r="S1232" s="12"/>
      <c r="T1232" s="12"/>
      <c r="U1232" s="10" t="str">
        <f>HYPERLINK("https://pbs.twimg.com/profile_images/1056677910751428609/VsSFGCvc.jpg","View")</f>
        <v>View</v>
      </c>
    </row>
    <row r="1233" spans="1:21" ht="51">
      <c r="A1233" s="6">
        <v>43427.014525462961</v>
      </c>
      <c r="B1233" s="7" t="str">
        <f>HYPERLINK("https://twitter.com/ReportoCA","@ReportoCA")</f>
        <v>@ReportoCA</v>
      </c>
      <c r="C1233" s="8" t="s">
        <v>4865</v>
      </c>
      <c r="D1233" s="9" t="s">
        <v>4866</v>
      </c>
      <c r="E1233" s="10" t="str">
        <f>HYPERLINK("https://twitter.com/ReportoCA/status/1065746979773431809","1065746979773431809")</f>
        <v>1065746979773431809</v>
      </c>
      <c r="F1233" s="11" t="s">
        <v>4867</v>
      </c>
      <c r="G1233" s="11" t="s">
        <v>4868</v>
      </c>
      <c r="H1233" s="12"/>
      <c r="I1233" s="13">
        <v>0</v>
      </c>
      <c r="J1233" s="13">
        <v>0</v>
      </c>
      <c r="K1233" s="14" t="str">
        <f>HYPERLINK("https://www.twitter.com/reportoca","CAreport")</f>
        <v>CAreport</v>
      </c>
      <c r="L1233" s="13">
        <v>1999</v>
      </c>
      <c r="M1233" s="13">
        <v>529</v>
      </c>
      <c r="N1233" s="13">
        <v>62</v>
      </c>
      <c r="O1233" s="15"/>
      <c r="P1233" s="6">
        <v>41554.189537037033</v>
      </c>
      <c r="Q1233" s="17" t="s">
        <v>4869</v>
      </c>
      <c r="R1233" s="18" t="s">
        <v>4870</v>
      </c>
      <c r="S1233" s="11" t="s">
        <v>4871</v>
      </c>
      <c r="T1233" s="12"/>
      <c r="U1233" s="10" t="str">
        <f>HYPERLINK("https://pbs.twimg.com/profile_images/611030600946860032/Jdn9RHM8.jpg","View")</f>
        <v>View</v>
      </c>
    </row>
    <row r="1234" spans="1:21" ht="51">
      <c r="A1234" s="6">
        <v>43427.014224537037</v>
      </c>
      <c r="B1234" s="7" t="str">
        <f>HYPERLINK("https://twitter.com/nomad_de_cuba","@nomad_de_cuba")</f>
        <v>@nomad_de_cuba</v>
      </c>
      <c r="C1234" s="8" t="s">
        <v>96</v>
      </c>
      <c r="D1234" s="9" t="s">
        <v>4872</v>
      </c>
      <c r="E1234" s="10" t="str">
        <f>HYPERLINK("https://twitter.com/nomad_de_cuba/status/1065746871321272320","1065746871321272320")</f>
        <v>1065746871321272320</v>
      </c>
      <c r="F1234" s="11" t="s">
        <v>4873</v>
      </c>
      <c r="G1234" s="12"/>
      <c r="H1234" s="12"/>
      <c r="I1234" s="13">
        <v>0</v>
      </c>
      <c r="J1234" s="13">
        <v>0</v>
      </c>
      <c r="K1234" s="14" t="str">
        <f>HYPERLINK("https://ifttt.com","IFTTT")</f>
        <v>IFTTT</v>
      </c>
      <c r="L1234" s="13">
        <v>239</v>
      </c>
      <c r="M1234" s="13">
        <v>660</v>
      </c>
      <c r="N1234" s="13">
        <v>14</v>
      </c>
      <c r="O1234" s="15"/>
      <c r="P1234" s="6">
        <v>41216.001226851848</v>
      </c>
      <c r="Q1234" s="17" t="s">
        <v>101</v>
      </c>
      <c r="R1234" s="18" t="s">
        <v>102</v>
      </c>
      <c r="S1234" s="11" t="s">
        <v>103</v>
      </c>
      <c r="T1234" s="12"/>
      <c r="U1234" s="10" t="str">
        <f>HYPERLINK("https://pbs.twimg.com/profile_images/744912778364850176/qIDKaN9j.jpg","View")</f>
        <v>View</v>
      </c>
    </row>
    <row r="1235" spans="1:21" ht="51">
      <c r="A1235" s="6">
        <v>43427.014178240745</v>
      </c>
      <c r="B1235" s="7" t="str">
        <f>HYPERLINK("https://twitter.com/oscarperis","@oscarperis")</f>
        <v>@oscarperis</v>
      </c>
      <c r="C1235" s="8" t="s">
        <v>4874</v>
      </c>
      <c r="D1235" s="9" t="s">
        <v>4875</v>
      </c>
      <c r="E1235" s="10" t="str">
        <f>HYPERLINK("https://twitter.com/oscarperis/status/1065746855697571840","1065746855697571840")</f>
        <v>1065746855697571840</v>
      </c>
      <c r="F1235" s="11" t="s">
        <v>4876</v>
      </c>
      <c r="G1235" s="12"/>
      <c r="H1235" s="12"/>
      <c r="I1235" s="13">
        <v>0</v>
      </c>
      <c r="J1235" s="13">
        <v>0</v>
      </c>
      <c r="K1235" s="14" t="str">
        <f>HYPERLINK("http://twitter.com/download/iphone","Twitter for iPhone")</f>
        <v>Twitter for iPhone</v>
      </c>
      <c r="L1235" s="13">
        <v>4847</v>
      </c>
      <c r="M1235" s="13">
        <v>3235</v>
      </c>
      <c r="N1235" s="13">
        <v>122</v>
      </c>
      <c r="O1235" s="15"/>
      <c r="P1235" s="6">
        <v>40343.720497685186</v>
      </c>
      <c r="Q1235" s="12"/>
      <c r="R1235" s="18" t="s">
        <v>4877</v>
      </c>
      <c r="S1235" s="11" t="s">
        <v>4878</v>
      </c>
      <c r="T1235" s="12"/>
      <c r="U1235" s="10" t="str">
        <f>HYPERLINK("https://pbs.twimg.com/profile_images/993880631800225793/SDC44RO1.jpg","View")</f>
        <v>View</v>
      </c>
    </row>
    <row r="1236" spans="1:21" ht="40.799999999999997">
      <c r="A1236" s="6">
        <v>43427.013217592597</v>
      </c>
      <c r="B1236" s="7" t="str">
        <f>HYPERLINK("https://twitter.com/grupoimpro","@grupoimpro")</f>
        <v>@grupoimpro</v>
      </c>
      <c r="C1236" s="8" t="s">
        <v>4879</v>
      </c>
      <c r="D1236" s="9" t="s">
        <v>4880</v>
      </c>
      <c r="E1236" s="10" t="str">
        <f>HYPERLINK("https://twitter.com/grupoimpro/status/1065746505187901440","1065746505187901440")</f>
        <v>1065746505187901440</v>
      </c>
      <c r="F1236" s="11" t="s">
        <v>4881</v>
      </c>
      <c r="G1236" s="12"/>
      <c r="H1236" s="12"/>
      <c r="I1236" s="13">
        <v>0</v>
      </c>
      <c r="J1236" s="13">
        <v>0</v>
      </c>
      <c r="K1236" s="14" t="str">
        <f>HYPERLINK("http://twitter.com","Twitter Web Client")</f>
        <v>Twitter Web Client</v>
      </c>
      <c r="L1236" s="13">
        <v>766</v>
      </c>
      <c r="M1236" s="13">
        <v>566</v>
      </c>
      <c r="N1236" s="13">
        <v>15</v>
      </c>
      <c r="O1236" s="15"/>
      <c r="P1236" s="6">
        <v>40416.821631944447</v>
      </c>
      <c r="Q1236" s="17" t="s">
        <v>28</v>
      </c>
      <c r="R1236" s="18" t="s">
        <v>4882</v>
      </c>
      <c r="S1236" s="11" t="s">
        <v>4883</v>
      </c>
      <c r="T1236" s="12"/>
      <c r="U1236" s="10" t="str">
        <f>HYPERLINK("https://pbs.twimg.com/profile_images/555155234280845313/4bfwaPij.png","View")</f>
        <v>View</v>
      </c>
    </row>
    <row r="1237" spans="1:21" ht="30.6">
      <c r="A1237" s="6">
        <v>43427.011145833334</v>
      </c>
      <c r="B1237" s="7" t="str">
        <f>HYPERLINK("https://twitter.com/LaPrensaReal","@LaPrensaReal")</f>
        <v>@LaPrensaReal</v>
      </c>
      <c r="C1237" s="8" t="s">
        <v>149</v>
      </c>
      <c r="D1237" s="9" t="s">
        <v>313</v>
      </c>
      <c r="E1237" s="10" t="str">
        <f>HYPERLINK("https://twitter.com/LaPrensaReal/status/1065745756022288384","1065745756022288384")</f>
        <v>1065745756022288384</v>
      </c>
      <c r="F1237" s="11" t="s">
        <v>314</v>
      </c>
      <c r="G1237" s="11" t="s">
        <v>315</v>
      </c>
      <c r="H1237" s="12"/>
      <c r="I1237" s="13">
        <v>0</v>
      </c>
      <c r="J1237" s="13">
        <v>0</v>
      </c>
      <c r="K1237" s="14" t="str">
        <f>HYPERLINK("http://publicize.wp.com/","WordPress.com")</f>
        <v>WordPress.com</v>
      </c>
      <c r="L1237" s="13">
        <v>6957</v>
      </c>
      <c r="M1237" s="13">
        <v>54</v>
      </c>
      <c r="N1237" s="13">
        <v>20</v>
      </c>
      <c r="O1237" s="15"/>
      <c r="P1237" s="6">
        <v>41828.094467592593</v>
      </c>
      <c r="Q1237" s="12"/>
      <c r="R1237" s="18" t="s">
        <v>153</v>
      </c>
      <c r="S1237" s="12"/>
      <c r="T1237" s="12"/>
      <c r="U1237" s="10" t="str">
        <f>HYPERLINK("https://pbs.twimg.com/profile_images/1028485180862943233/f0xBcRGG.jpg","View")</f>
        <v>View</v>
      </c>
    </row>
    <row r="1238" spans="1:21" ht="40.799999999999997">
      <c r="A1238" s="6">
        <v>43427.010659722218</v>
      </c>
      <c r="B1238" s="7" t="str">
        <f>HYPERLINK("https://twitter.com/ColpisaNoticias","@ColpisaNoticias")</f>
        <v>@ColpisaNoticias</v>
      </c>
      <c r="C1238" s="8" t="s">
        <v>4884</v>
      </c>
      <c r="D1238" s="9" t="s">
        <v>4885</v>
      </c>
      <c r="E1238" s="10" t="str">
        <f>HYPERLINK("https://twitter.com/ColpisaNoticias/status/1065745578687107076","1065745578687107076")</f>
        <v>1065745578687107076</v>
      </c>
      <c r="F1238" s="11" t="s">
        <v>4886</v>
      </c>
      <c r="G1238" s="12"/>
      <c r="H1238" s="12"/>
      <c r="I1238" s="13">
        <v>0</v>
      </c>
      <c r="J1238" s="13">
        <v>1</v>
      </c>
      <c r="K1238" s="14" t="str">
        <f>HYPERLINK("http://twitter.com","Twitter Web Client")</f>
        <v>Twitter Web Client</v>
      </c>
      <c r="L1238" s="13">
        <v>12386</v>
      </c>
      <c r="M1238" s="13">
        <v>102</v>
      </c>
      <c r="N1238" s="13">
        <v>351</v>
      </c>
      <c r="O1238" s="15"/>
      <c r="P1238" s="6">
        <v>40485.770451388889</v>
      </c>
      <c r="Q1238" s="17" t="s">
        <v>72</v>
      </c>
      <c r="R1238" s="18" t="s">
        <v>4887</v>
      </c>
      <c r="S1238" s="11" t="s">
        <v>4888</v>
      </c>
      <c r="T1238" s="12"/>
      <c r="U1238" s="10" t="str">
        <f>HYPERLINK("https://pbs.twimg.com/profile_images/971883656485789696/iUDU1Gy2.jpg","View")</f>
        <v>View</v>
      </c>
    </row>
    <row r="1239" spans="1:21" ht="30.6">
      <c r="A1239" s="6">
        <v>43427.01059027778</v>
      </c>
      <c r="B1239" s="7" t="str">
        <f>HYPERLINK("https://twitter.com/Azana_cabreado","@Azana_cabreado")</f>
        <v>@Azana_cabreado</v>
      </c>
      <c r="C1239" s="8" t="s">
        <v>4889</v>
      </c>
      <c r="D1239" s="9" t="s">
        <v>4890</v>
      </c>
      <c r="E1239" s="10" t="str">
        <f>HYPERLINK("https://twitter.com/Azana_cabreado/status/1065745555408789504","1065745555408789504")</f>
        <v>1065745555408789504</v>
      </c>
      <c r="F1239" s="12"/>
      <c r="G1239" s="11" t="s">
        <v>4891</v>
      </c>
      <c r="H1239" s="12"/>
      <c r="I1239" s="13">
        <v>0</v>
      </c>
      <c r="J1239" s="13">
        <v>3</v>
      </c>
      <c r="K1239" s="14" t="str">
        <f>HYPERLINK("http://twitter.com/download/android","Twitter for Android")</f>
        <v>Twitter for Android</v>
      </c>
      <c r="L1239" s="13">
        <v>100</v>
      </c>
      <c r="M1239" s="13">
        <v>30</v>
      </c>
      <c r="N1239" s="13">
        <v>0</v>
      </c>
      <c r="O1239" s="15"/>
      <c r="P1239" s="6">
        <v>43410.550520833334</v>
      </c>
      <c r="Q1239" s="17" t="s">
        <v>28</v>
      </c>
      <c r="R1239" s="18" t="s">
        <v>4892</v>
      </c>
      <c r="S1239" s="12"/>
      <c r="T1239" s="12"/>
      <c r="U1239" s="10" t="str">
        <f>HYPERLINK("https://pbs.twimg.com/profile_images/1063531641845571584/H-LuLhoY.jpg","View")</f>
        <v>View</v>
      </c>
    </row>
    <row r="1240" spans="1:21" ht="30.6">
      <c r="A1240" s="6">
        <v>43427.01053240741</v>
      </c>
      <c r="B1240" s="7" t="str">
        <f>HYPERLINK("https://twitter.com/Lior_Mastejn","@Lior_Mastejn")</f>
        <v>@Lior_Mastejn</v>
      </c>
      <c r="C1240" s="8" t="s">
        <v>4893</v>
      </c>
      <c r="D1240" s="9" t="s">
        <v>4894</v>
      </c>
      <c r="E1240" s="10" t="str">
        <f>HYPERLINK("https://twitter.com/Lior_Mastejn/status/1065745535133458432","1065745535133458432")</f>
        <v>1065745535133458432</v>
      </c>
      <c r="F1240" s="11" t="s">
        <v>4895</v>
      </c>
      <c r="G1240" s="12"/>
      <c r="H1240" s="12"/>
      <c r="I1240" s="13">
        <v>0</v>
      </c>
      <c r="J1240" s="13">
        <v>0</v>
      </c>
      <c r="K1240" s="14" t="str">
        <f>HYPERLINK("http://twitter.com","Twitter Web Client")</f>
        <v>Twitter Web Client</v>
      </c>
      <c r="L1240" s="13">
        <v>1826</v>
      </c>
      <c r="M1240" s="13">
        <v>3154</v>
      </c>
      <c r="N1240" s="13">
        <v>65</v>
      </c>
      <c r="O1240" s="15"/>
      <c r="P1240" s="6">
        <v>41508.594363425924</v>
      </c>
      <c r="Q1240" s="17" t="s">
        <v>2147</v>
      </c>
      <c r="R1240" s="18" t="s">
        <v>4896</v>
      </c>
      <c r="S1240" s="12"/>
      <c r="T1240" s="12"/>
      <c r="U1240" s="10" t="str">
        <f>HYPERLINK("https://pbs.twimg.com/profile_images/1043080929558835201/DX5Vms2J.jpg","View")</f>
        <v>View</v>
      </c>
    </row>
    <row r="1241" spans="1:21" ht="51">
      <c r="A1241" s="6">
        <v>43427.008437500001</v>
      </c>
      <c r="B1241" s="7" t="str">
        <f>HYPERLINK("https://twitter.com/RadioTainoFM","@RadioTainoFM")</f>
        <v>@RadioTainoFM</v>
      </c>
      <c r="C1241" s="8" t="s">
        <v>2384</v>
      </c>
      <c r="D1241" s="9" t="s">
        <v>4897</v>
      </c>
      <c r="E1241" s="10" t="str">
        <f>HYPERLINK("https://twitter.com/RadioTainoFM/status/1065744775473696768","1065744775473696768")</f>
        <v>1065744775473696768</v>
      </c>
      <c r="F1241" s="11" t="s">
        <v>4898</v>
      </c>
      <c r="G1241" s="12"/>
      <c r="H1241" s="12"/>
      <c r="I1241" s="13">
        <v>0</v>
      </c>
      <c r="J1241" s="13">
        <v>1</v>
      </c>
      <c r="K1241" s="14" t="str">
        <f>HYPERLINK("http://www.facebook.com/twitter","Facebook")</f>
        <v>Facebook</v>
      </c>
      <c r="L1241" s="13">
        <v>1674</v>
      </c>
      <c r="M1241" s="13">
        <v>492</v>
      </c>
      <c r="N1241" s="13">
        <v>50</v>
      </c>
      <c r="O1241" s="15"/>
      <c r="P1241" s="6">
        <v>41208.697557870371</v>
      </c>
      <c r="Q1241" s="17" t="s">
        <v>2388</v>
      </c>
      <c r="R1241" s="18" t="s">
        <v>2389</v>
      </c>
      <c r="S1241" s="11" t="s">
        <v>2390</v>
      </c>
      <c r="T1241" s="12"/>
      <c r="U1241" s="10" t="str">
        <f>HYPERLINK("https://pbs.twimg.com/profile_images/459010903417950209/FIJUXjoE.jpeg","View")</f>
        <v>View</v>
      </c>
    </row>
    <row r="1242" spans="1:21" ht="20.399999999999999">
      <c r="A1242" s="6">
        <v>43427.007858796293</v>
      </c>
      <c r="B1242" s="7" t="str">
        <f>HYPERLINK("https://twitter.com/MaquinasEmpac","@MaquinasEmpac")</f>
        <v>@MaquinasEmpac</v>
      </c>
      <c r="C1242" s="8" t="s">
        <v>4899</v>
      </c>
      <c r="D1242" s="9" t="s">
        <v>4900</v>
      </c>
      <c r="E1242" s="10" t="str">
        <f>HYPERLINK("https://twitter.com/MaquinasEmpac/status/1065744563921276928","1065744563921276928")</f>
        <v>1065744563921276928</v>
      </c>
      <c r="F1242" s="12"/>
      <c r="G1242" s="11" t="s">
        <v>4901</v>
      </c>
      <c r="H1242" s="12"/>
      <c r="I1242" s="13">
        <v>0</v>
      </c>
      <c r="J1242" s="13">
        <v>0</v>
      </c>
      <c r="K1242" s="14" t="str">
        <f>HYPERLINK("http://maquinas.empacadoras.org","App for press share")</f>
        <v>App for press share</v>
      </c>
      <c r="L1242" s="13">
        <v>21</v>
      </c>
      <c r="M1242" s="13">
        <v>1</v>
      </c>
      <c r="N1242" s="13">
        <v>0</v>
      </c>
      <c r="O1242" s="15"/>
      <c r="P1242" s="6">
        <v>42800.556296296301</v>
      </c>
      <c r="Q1242" s="12"/>
      <c r="R1242" s="19"/>
      <c r="S1242" s="12"/>
      <c r="T1242" s="12"/>
      <c r="U1242" s="16" t="s">
        <v>373</v>
      </c>
    </row>
    <row r="1243" spans="1:21" ht="20.399999999999999">
      <c r="A1243" s="6">
        <v>43427.007662037038</v>
      </c>
      <c r="B1243" s="7" t="str">
        <f>HYPERLINK("https://twitter.com/caencomonueces","@caencomonueces")</f>
        <v>@caencomonueces</v>
      </c>
      <c r="C1243" s="8" t="s">
        <v>4902</v>
      </c>
      <c r="D1243" s="9" t="s">
        <v>2295</v>
      </c>
      <c r="E1243" s="10" t="str">
        <f>HYPERLINK("https://twitter.com/caencomonueces/status/1065744493201301504","1065744493201301504")</f>
        <v>1065744493201301504</v>
      </c>
      <c r="F1243" s="11" t="s">
        <v>1820</v>
      </c>
      <c r="G1243" s="12"/>
      <c r="H1243" s="12"/>
      <c r="I1243" s="13">
        <v>0</v>
      </c>
      <c r="J1243" s="13">
        <v>0</v>
      </c>
      <c r="K1243" s="14" t="str">
        <f>HYPERLINK("http://twitter.com/download/android","Twitter for Android")</f>
        <v>Twitter for Android</v>
      </c>
      <c r="L1243" s="13">
        <v>629</v>
      </c>
      <c r="M1243" s="13">
        <v>1153</v>
      </c>
      <c r="N1243" s="13">
        <v>3</v>
      </c>
      <c r="O1243" s="15"/>
      <c r="P1243" s="6">
        <v>41242.801539351851</v>
      </c>
      <c r="Q1243" s="17" t="s">
        <v>436</v>
      </c>
      <c r="R1243" s="18" t="s">
        <v>4903</v>
      </c>
      <c r="S1243" s="12"/>
      <c r="T1243" s="12"/>
      <c r="U1243" s="10" t="str">
        <f>HYPERLINK("https://pbs.twimg.com/profile_images/802542076420378628/S_52YFJA.jpg","View")</f>
        <v>View</v>
      </c>
    </row>
    <row r="1244" spans="1:21" ht="30.6">
      <c r="A1244" s="6">
        <v>43427.006469907406</v>
      </c>
      <c r="B1244" s="7" t="str">
        <f>HYPERLINK("https://twitter.com/victorzuigazamo","@victorzuigazamo")</f>
        <v>@victorzuigazamo</v>
      </c>
      <c r="C1244" s="8" t="s">
        <v>4904</v>
      </c>
      <c r="D1244" s="9" t="s">
        <v>1334</v>
      </c>
      <c r="E1244" s="10" t="str">
        <f>HYPERLINK("https://twitter.com/victorzuigazamo/status/1065744060613304320","1065744060613304320")</f>
        <v>1065744060613304320</v>
      </c>
      <c r="F1244" s="11" t="s">
        <v>4905</v>
      </c>
      <c r="G1244" s="12"/>
      <c r="H1244" s="12"/>
      <c r="I1244" s="13">
        <v>0</v>
      </c>
      <c r="J1244" s="13">
        <v>0</v>
      </c>
      <c r="K1244" s="14" t="str">
        <f>HYPERLINK("http://twitter.com","Twitter Web Client")</f>
        <v>Twitter Web Client</v>
      </c>
      <c r="L1244" s="13">
        <v>1390</v>
      </c>
      <c r="M1244" s="13">
        <v>1331</v>
      </c>
      <c r="N1244" s="13">
        <v>12</v>
      </c>
      <c r="O1244" s="15"/>
      <c r="P1244" s="6">
        <v>41171.922581018516</v>
      </c>
      <c r="Q1244" s="12"/>
      <c r="R1244" s="18" t="s">
        <v>4906</v>
      </c>
      <c r="S1244" s="11" t="s">
        <v>4907</v>
      </c>
      <c r="T1244" s="12"/>
      <c r="U1244" s="10" t="str">
        <f>HYPERLINK("https://pbs.twimg.com/profile_images/564501546755297280/5lnOZG4C.jpeg","View")</f>
        <v>View</v>
      </c>
    </row>
    <row r="1245" spans="1:21" ht="30.6">
      <c r="A1245" s="6">
        <v>43427.006192129629</v>
      </c>
      <c r="B1245" s="7" t="str">
        <f>HYPERLINK("https://twitter.com/nicolay_cuatro","@nicolay_cuatro")</f>
        <v>@nicolay_cuatro</v>
      </c>
      <c r="C1245" s="8" t="s">
        <v>4908</v>
      </c>
      <c r="D1245" s="9" t="s">
        <v>4909</v>
      </c>
      <c r="E1245" s="10" t="str">
        <f>HYPERLINK("https://twitter.com/nicolay_cuatro/status/1065743960096817152","1065743960096817152")</f>
        <v>1065743960096817152</v>
      </c>
      <c r="F1245" s="12"/>
      <c r="G1245" s="11" t="s">
        <v>4910</v>
      </c>
      <c r="H1245" s="12"/>
      <c r="I1245" s="13">
        <v>0</v>
      </c>
      <c r="J1245" s="13">
        <v>3</v>
      </c>
      <c r="K1245" s="14" t="str">
        <f>HYPERLINK("http://twitter.com/download/android","Twitter for Android")</f>
        <v>Twitter for Android</v>
      </c>
      <c r="L1245" s="13">
        <v>561</v>
      </c>
      <c r="M1245" s="13">
        <v>386</v>
      </c>
      <c r="N1245" s="13">
        <v>28</v>
      </c>
      <c r="O1245" s="15"/>
      <c r="P1245" s="6">
        <v>40753.032800925925</v>
      </c>
      <c r="Q1245" s="12"/>
      <c r="R1245" s="18" t="s">
        <v>4911</v>
      </c>
      <c r="S1245" s="12"/>
      <c r="T1245" s="12"/>
      <c r="U1245" s="10" t="str">
        <f>HYPERLINK("https://pbs.twimg.com/profile_images/1010925115851395073/nQ3HI2a2.jpg","View")</f>
        <v>View</v>
      </c>
    </row>
    <row r="1246" spans="1:21" ht="30.6">
      <c r="A1246" s="6">
        <v>43427.005590277782</v>
      </c>
      <c r="B1246" s="7" t="str">
        <f>HYPERLINK("https://twitter.com/SpainToMinute","@SpainToMinute")</f>
        <v>@SpainToMinute</v>
      </c>
      <c r="C1246" s="8" t="s">
        <v>4912</v>
      </c>
      <c r="D1246" s="9" t="s">
        <v>1975</v>
      </c>
      <c r="E1246" s="10" t="str">
        <f>HYPERLINK("https://twitter.com/SpainToMinute/status/1065743741556641792","1065743741556641792")</f>
        <v>1065743741556641792</v>
      </c>
      <c r="F1246" s="11" t="s">
        <v>4913</v>
      </c>
      <c r="G1246" s="11" t="s">
        <v>4914</v>
      </c>
      <c r="H1246" s="12"/>
      <c r="I1246" s="13">
        <v>0</v>
      </c>
      <c r="J1246" s="13">
        <v>0</v>
      </c>
      <c r="K1246" s="14" t="str">
        <f>HYPERLINK("https://dlvrit.com/","dlvr.it")</f>
        <v>dlvr.it</v>
      </c>
      <c r="L1246" s="13">
        <v>183</v>
      </c>
      <c r="M1246" s="13">
        <v>103</v>
      </c>
      <c r="N1246" s="13">
        <v>34</v>
      </c>
      <c r="O1246" s="15"/>
      <c r="P1246" s="6">
        <v>42008.719351851847</v>
      </c>
      <c r="Q1246" s="17" t="s">
        <v>72</v>
      </c>
      <c r="R1246" s="18" t="s">
        <v>4915</v>
      </c>
      <c r="S1246" s="12"/>
      <c r="T1246" s="12"/>
      <c r="U1246" s="10" t="str">
        <f>HYPERLINK("https://pbs.twimg.com/profile_images/551780757484482563/cNYfbPKy.jpeg","View")</f>
        <v>View</v>
      </c>
    </row>
    <row r="1247" spans="1:21" ht="20.399999999999999">
      <c r="A1247" s="6">
        <v>43427.005277777775</v>
      </c>
      <c r="B1247" s="7" t="str">
        <f>HYPERLINK("https://twitter.com/sumariumcom","@sumariumcom")</f>
        <v>@sumariumcom</v>
      </c>
      <c r="C1247" s="8" t="s">
        <v>1974</v>
      </c>
      <c r="D1247" s="9" t="s">
        <v>1975</v>
      </c>
      <c r="E1247" s="10" t="str">
        <f>HYPERLINK("https://twitter.com/sumariumcom/status/1065743628172173312","1065743628172173312")</f>
        <v>1065743628172173312</v>
      </c>
      <c r="F1247" s="11" t="s">
        <v>1976</v>
      </c>
      <c r="G1247" s="11" t="s">
        <v>4916</v>
      </c>
      <c r="H1247" s="12"/>
      <c r="I1247" s="13">
        <v>0</v>
      </c>
      <c r="J1247" s="13">
        <v>1</v>
      </c>
      <c r="K1247" s="14" t="str">
        <f>HYPERLINK("https://about.twitter.com/products/tweetdeck","TweetDeck")</f>
        <v>TweetDeck</v>
      </c>
      <c r="L1247" s="13">
        <v>164226</v>
      </c>
      <c r="M1247" s="13">
        <v>994</v>
      </c>
      <c r="N1247" s="13">
        <v>1117</v>
      </c>
      <c r="O1247" s="15"/>
      <c r="P1247" s="6">
        <v>40977.809594907405</v>
      </c>
      <c r="Q1247" s="17" t="s">
        <v>1978</v>
      </c>
      <c r="R1247" s="19"/>
      <c r="S1247" s="11" t="s">
        <v>1979</v>
      </c>
      <c r="T1247" s="12"/>
      <c r="U1247" s="10" t="str">
        <f>HYPERLINK("https://pbs.twimg.com/profile_images/1061987847874469888/mok5IDTt.jpg","View")</f>
        <v>View</v>
      </c>
    </row>
    <row r="1248" spans="1:21" ht="20.399999999999999">
      <c r="A1248" s="6">
        <v>43427.003611111111</v>
      </c>
      <c r="B1248" s="7" t="str">
        <f>HYPERLINK("https://twitter.com/NoticiasVenezue","@NoticiasVenezue")</f>
        <v>@NoticiasVenezue</v>
      </c>
      <c r="C1248" s="8" t="s">
        <v>4070</v>
      </c>
      <c r="D1248" s="9" t="s">
        <v>1334</v>
      </c>
      <c r="E1248" s="10" t="str">
        <f>HYPERLINK("https://twitter.com/NoticiasVenezue/status/1065743027321360385","1065743027321360385")</f>
        <v>1065743027321360385</v>
      </c>
      <c r="F1248" s="11" t="s">
        <v>4917</v>
      </c>
      <c r="G1248" s="11" t="s">
        <v>4918</v>
      </c>
      <c r="H1248" s="12"/>
      <c r="I1248" s="13">
        <v>1</v>
      </c>
      <c r="J1248" s="13">
        <v>0</v>
      </c>
      <c r="K1248" s="14" t="str">
        <f>HYPERLINK("http://publicize.wp.com/","WordPress.com")</f>
        <v>WordPress.com</v>
      </c>
      <c r="L1248" s="13">
        <v>847998</v>
      </c>
      <c r="M1248" s="13">
        <v>107736</v>
      </c>
      <c r="N1248" s="13">
        <v>4005</v>
      </c>
      <c r="O1248" s="16" t="s">
        <v>26</v>
      </c>
      <c r="P1248" s="6">
        <v>39960.368576388893</v>
      </c>
      <c r="Q1248" s="17" t="s">
        <v>383</v>
      </c>
      <c r="R1248" s="18" t="s">
        <v>4073</v>
      </c>
      <c r="S1248" s="11" t="s">
        <v>4074</v>
      </c>
      <c r="T1248" s="12"/>
      <c r="U1248" s="10" t="str">
        <f>HYPERLINK("https://pbs.twimg.com/profile_images/1051102549061849088/xDOWgbtI.jpg","View")</f>
        <v>View</v>
      </c>
    </row>
    <row r="1249" spans="1:21" ht="20.399999999999999">
      <c r="A1249" s="6">
        <v>43427.003506944442</v>
      </c>
      <c r="B1249" s="7" t="str">
        <f>HYPERLINK("https://twitter.com/NDtitulares","@NDtitulares")</f>
        <v>@NDtitulares</v>
      </c>
      <c r="C1249" s="8" t="s">
        <v>4166</v>
      </c>
      <c r="D1249" s="9" t="s">
        <v>3190</v>
      </c>
      <c r="E1249" s="10" t="str">
        <f>HYPERLINK("https://twitter.com/NDtitulares/status/1065742987148193793","1065742987148193793")</f>
        <v>1065742987148193793</v>
      </c>
      <c r="F1249" s="11" t="s">
        <v>3191</v>
      </c>
      <c r="G1249" s="11" t="s">
        <v>4919</v>
      </c>
      <c r="H1249" s="12"/>
      <c r="I1249" s="13">
        <v>0</v>
      </c>
      <c r="J1249" s="13">
        <v>0</v>
      </c>
      <c r="K1249" s="14" t="str">
        <f>HYPERLINK("http://www.noticierodigital.com","PublicarTuitsDesdeWP")</f>
        <v>PublicarTuitsDesdeWP</v>
      </c>
      <c r="L1249" s="13">
        <v>717211</v>
      </c>
      <c r="M1249" s="13">
        <v>1611</v>
      </c>
      <c r="N1249" s="13">
        <v>3756</v>
      </c>
      <c r="O1249" s="15"/>
      <c r="P1249" s="6">
        <v>39930.715879629628</v>
      </c>
      <c r="Q1249" s="17" t="s">
        <v>104</v>
      </c>
      <c r="R1249" s="18" t="s">
        <v>4167</v>
      </c>
      <c r="S1249" s="11" t="s">
        <v>4168</v>
      </c>
      <c r="T1249" s="12"/>
      <c r="U1249" s="10" t="str">
        <f>HYPERLINK("https://pbs.twimg.com/profile_images/875451743815053313/Xr2jDG9I.jpg","View")</f>
        <v>View</v>
      </c>
    </row>
    <row r="1250" spans="1:21" ht="40.799999999999997">
      <c r="A1250" s="6">
        <v>43427.00273148148</v>
      </c>
      <c r="B1250" s="7" t="str">
        <f>HYPERLINK("https://twitter.com/poder_en","@poder_en")</f>
        <v>@poder_en</v>
      </c>
      <c r="C1250" s="8" t="s">
        <v>4920</v>
      </c>
      <c r="D1250" s="9" t="s">
        <v>4921</v>
      </c>
      <c r="E1250" s="10" t="str">
        <f>HYPERLINK("https://twitter.com/poder_en/status/1065742706377396228","1065742706377396228")</f>
        <v>1065742706377396228</v>
      </c>
      <c r="F1250" s="11" t="s">
        <v>4922</v>
      </c>
      <c r="G1250" s="12"/>
      <c r="H1250" s="12"/>
      <c r="I1250" s="13">
        <v>0</v>
      </c>
      <c r="J1250" s="13">
        <v>0</v>
      </c>
      <c r="K1250" s="14" t="str">
        <f>HYPERLINK("http://twitter.com/download/android","Twitter for Android")</f>
        <v>Twitter for Android</v>
      </c>
      <c r="L1250" s="13">
        <v>98</v>
      </c>
      <c r="M1250" s="13">
        <v>205</v>
      </c>
      <c r="N1250" s="13">
        <v>0</v>
      </c>
      <c r="O1250" s="15"/>
      <c r="P1250" s="6">
        <v>43348.41002314815</v>
      </c>
      <c r="Q1250" s="17" t="s">
        <v>277</v>
      </c>
      <c r="R1250" s="18" t="s">
        <v>4923</v>
      </c>
      <c r="S1250" s="12"/>
      <c r="T1250" s="12"/>
      <c r="U1250" s="10" t="str">
        <f>HYPERLINK("https://pbs.twimg.com/profile_images/1037247039720116225/GWu6zi3y.jpg","View")</f>
        <v>View</v>
      </c>
    </row>
    <row r="1251" spans="1:21" ht="20.399999999999999">
      <c r="A1251" s="6">
        <v>43427.002500000002</v>
      </c>
      <c r="B1251" s="7" t="str">
        <f>HYPERLINK("https://twitter.com/EspanaActual","@EspanaActual")</f>
        <v>@EspanaActual</v>
      </c>
      <c r="C1251" s="8" t="s">
        <v>4924</v>
      </c>
      <c r="D1251" s="9" t="s">
        <v>4925</v>
      </c>
      <c r="E1251" s="10" t="str">
        <f>HYPERLINK("https://twitter.com/EspanaActual/status/1065742622478802944","1065742622478802944")</f>
        <v>1065742622478802944</v>
      </c>
      <c r="F1251" s="11" t="s">
        <v>4926</v>
      </c>
      <c r="G1251" s="12"/>
      <c r="H1251" s="12"/>
      <c r="I1251" s="13">
        <v>0</v>
      </c>
      <c r="J1251" s="13">
        <v>0</v>
      </c>
      <c r="K1251" s="14" t="str">
        <f>HYPERLINK("http://www.wonderland.fm/","wonderland.fm")</f>
        <v>wonderland.fm</v>
      </c>
      <c r="L1251" s="13">
        <v>254</v>
      </c>
      <c r="M1251" s="13">
        <v>0</v>
      </c>
      <c r="N1251" s="13">
        <v>5</v>
      </c>
      <c r="O1251" s="15"/>
      <c r="P1251" s="6">
        <v>41357.845486111109</v>
      </c>
      <c r="Q1251" s="17" t="s">
        <v>28</v>
      </c>
      <c r="R1251" s="18" t="s">
        <v>4927</v>
      </c>
      <c r="S1251" s="12"/>
      <c r="T1251" s="12"/>
      <c r="U1251" s="10" t="str">
        <f>HYPERLINK("https://pbs.twimg.com/profile_images/745695516982378496/lAlJBkNT.jpg","View")</f>
        <v>View</v>
      </c>
    </row>
    <row r="1252" spans="1:21" ht="30.6">
      <c r="A1252" s="6">
        <v>43427.00209490741</v>
      </c>
      <c r="B1252" s="7" t="str">
        <f>HYPERLINK("https://twitter.com/pressdigital","@pressdigital")</f>
        <v>@pressdigital</v>
      </c>
      <c r="C1252" s="8" t="s">
        <v>990</v>
      </c>
      <c r="D1252" s="9" t="s">
        <v>1975</v>
      </c>
      <c r="E1252" s="10" t="str">
        <f>HYPERLINK("https://twitter.com/pressdigital/status/1065742474348507136","1065742474348507136")</f>
        <v>1065742474348507136</v>
      </c>
      <c r="F1252" s="11" t="s">
        <v>4928</v>
      </c>
      <c r="G1252" s="12"/>
      <c r="H1252" s="12"/>
      <c r="I1252" s="13">
        <v>1</v>
      </c>
      <c r="J1252" s="13">
        <v>1</v>
      </c>
      <c r="K1252" s="14" t="str">
        <f>HYPERLINK("https://buffer.com","Buffer")</f>
        <v>Buffer</v>
      </c>
      <c r="L1252" s="13">
        <v>1203</v>
      </c>
      <c r="M1252" s="13">
        <v>1054</v>
      </c>
      <c r="N1252" s="13">
        <v>73</v>
      </c>
      <c r="O1252" s="15"/>
      <c r="P1252" s="6">
        <v>40142.836041666669</v>
      </c>
      <c r="Q1252" s="17" t="s">
        <v>28</v>
      </c>
      <c r="R1252" s="18" t="s">
        <v>993</v>
      </c>
      <c r="S1252" s="11" t="s">
        <v>994</v>
      </c>
      <c r="T1252" s="12"/>
      <c r="U1252" s="10" t="str">
        <f>HYPERLINK("https://pbs.twimg.com/profile_images/686495616231444480/68bUHQ6J.jpg","View")</f>
        <v>View</v>
      </c>
    </row>
    <row r="1253" spans="1:21" ht="40.799999999999997">
      <c r="A1253" s="6">
        <v>43427.001134259262</v>
      </c>
      <c r="B1253" s="7" t="str">
        <f>HYPERLINK("https://twitter.com/AveriadosAve","@AveriadosAve")</f>
        <v>@AveriadosAve</v>
      </c>
      <c r="C1253" s="8" t="s">
        <v>4929</v>
      </c>
      <c r="D1253" s="9" t="s">
        <v>4930</v>
      </c>
      <c r="E1253" s="10" t="str">
        <f>HYPERLINK("https://twitter.com/AveriadosAve/status/1065742129106964480","1065742129106964480")</f>
        <v>1065742129106964480</v>
      </c>
      <c r="F1253" s="17" t="s">
        <v>4931</v>
      </c>
      <c r="G1253" s="12"/>
      <c r="H1253" s="12"/>
      <c r="I1253" s="13">
        <v>3</v>
      </c>
      <c r="J1253" s="13">
        <v>2</v>
      </c>
      <c r="K1253" s="14" t="str">
        <f>HYPERLINK("http://twitter.com","Twitter Web Client")</f>
        <v>Twitter Web Client</v>
      </c>
      <c r="L1253" s="13">
        <v>1034</v>
      </c>
      <c r="M1253" s="13">
        <v>1198</v>
      </c>
      <c r="N1253" s="13">
        <v>5</v>
      </c>
      <c r="O1253" s="15"/>
      <c r="P1253" s="6">
        <v>42026.972129629634</v>
      </c>
      <c r="Q1253" s="12"/>
      <c r="R1253" s="18" t="s">
        <v>4932</v>
      </c>
      <c r="S1253" s="12"/>
      <c r="T1253" s="12"/>
      <c r="U1253" s="10" t="str">
        <f>HYPERLINK("https://pbs.twimg.com/profile_images/914981862933753862/00Zo8Rx6.jpg","View")</f>
        <v>View</v>
      </c>
    </row>
    <row r="1254" spans="1:21" ht="51">
      <c r="A1254" s="6">
        <v>43427.000983796301</v>
      </c>
      <c r="B1254" s="7" t="str">
        <f>HYPERLINK("https://twitter.com/lolafdezute","@lolafdezute")</f>
        <v>@lolafdezute</v>
      </c>
      <c r="C1254" s="8" t="s">
        <v>4933</v>
      </c>
      <c r="D1254" s="9" t="s">
        <v>4934</v>
      </c>
      <c r="E1254" s="10" t="str">
        <f>HYPERLINK("https://twitter.com/lolafdezute/status/1065742074937524231","1065742074937524231")</f>
        <v>1065742074937524231</v>
      </c>
      <c r="F1254" s="12"/>
      <c r="G1254" s="12"/>
      <c r="H1254" s="12"/>
      <c r="I1254" s="13">
        <v>1</v>
      </c>
      <c r="J1254" s="13">
        <v>1</v>
      </c>
      <c r="K1254" s="14" t="str">
        <f>HYPERLINK("http://twitter.com/download/iphone","Twitter for iPhone")</f>
        <v>Twitter for iPhone</v>
      </c>
      <c r="L1254" s="13">
        <v>76</v>
      </c>
      <c r="M1254" s="13">
        <v>238</v>
      </c>
      <c r="N1254" s="13">
        <v>1</v>
      </c>
      <c r="O1254" s="15"/>
      <c r="P1254" s="6">
        <v>41803.974699074075</v>
      </c>
      <c r="Q1254" s="12"/>
      <c r="R1254" s="18" t="s">
        <v>4935</v>
      </c>
      <c r="S1254" s="12"/>
      <c r="T1254" s="12"/>
      <c r="U1254" s="10" t="str">
        <f>HYPERLINK("https://pbs.twimg.com/profile_images/790663703540695040/IUwPupqn.jpg","View")</f>
        <v>View</v>
      </c>
    </row>
    <row r="1255" spans="1:21" ht="40.799999999999997">
      <c r="A1255" s="6">
        <v>43427.000960648147</v>
      </c>
      <c r="B1255" s="7" t="str">
        <f>HYPERLINK("https://twitter.com/ninoskacuervo","@ninoskacuervo")</f>
        <v>@ninoskacuervo</v>
      </c>
      <c r="C1255" s="8" t="s">
        <v>4936</v>
      </c>
      <c r="D1255" s="9" t="s">
        <v>4937</v>
      </c>
      <c r="E1255" s="10" t="str">
        <f>HYPERLINK("https://twitter.com/ninoskacuervo/status/1065742066188279816","1065742066188279816")</f>
        <v>1065742066188279816</v>
      </c>
      <c r="F1255" s="11" t="s">
        <v>4388</v>
      </c>
      <c r="G1255" s="12"/>
      <c r="H1255" s="12"/>
      <c r="I1255" s="13">
        <v>0</v>
      </c>
      <c r="J1255" s="13">
        <v>0</v>
      </c>
      <c r="K1255" s="14" t="str">
        <f t="shared" ref="K1255:K1257" si="205">HYPERLINK("http://twitter.com","Twitter Web Client")</f>
        <v>Twitter Web Client</v>
      </c>
      <c r="L1255" s="13">
        <v>10121</v>
      </c>
      <c r="M1255" s="13">
        <v>9324</v>
      </c>
      <c r="N1255" s="13">
        <v>92</v>
      </c>
      <c r="O1255" s="15"/>
      <c r="P1255" s="6">
        <v>40203.985219907408</v>
      </c>
      <c r="Q1255" s="17" t="s">
        <v>4938</v>
      </c>
      <c r="R1255" s="18" t="s">
        <v>4939</v>
      </c>
      <c r="S1255" s="12"/>
      <c r="T1255" s="12"/>
      <c r="U1255" s="10" t="str">
        <f>HYPERLINK("https://pbs.twimg.com/profile_images/1123548466/olivia_001.jpg","View")</f>
        <v>View</v>
      </c>
    </row>
    <row r="1256" spans="1:21" ht="40.799999999999997">
      <c r="A1256" s="6">
        <v>43427.000173611115</v>
      </c>
      <c r="B1256" s="7" t="str">
        <f>HYPERLINK("https://twitter.com/vikuku","@vikuku")</f>
        <v>@vikuku</v>
      </c>
      <c r="C1256" s="8" t="s">
        <v>3509</v>
      </c>
      <c r="D1256" s="9" t="s">
        <v>4940</v>
      </c>
      <c r="E1256" s="10" t="str">
        <f>HYPERLINK("https://twitter.com/vikuku/status/1065741779608190977","1065741779608190977")</f>
        <v>1065741779608190977</v>
      </c>
      <c r="F1256" s="11" t="s">
        <v>1331</v>
      </c>
      <c r="G1256" s="12"/>
      <c r="H1256" s="12"/>
      <c r="I1256" s="13">
        <v>0</v>
      </c>
      <c r="J1256" s="13">
        <v>0</v>
      </c>
      <c r="K1256" s="14" t="str">
        <f t="shared" si="205"/>
        <v>Twitter Web Client</v>
      </c>
      <c r="L1256" s="13">
        <v>476</v>
      </c>
      <c r="M1256" s="13">
        <v>2098</v>
      </c>
      <c r="N1256" s="13">
        <v>15</v>
      </c>
      <c r="O1256" s="15"/>
      <c r="P1256" s="6">
        <v>40068.45521990741</v>
      </c>
      <c r="Q1256" s="12"/>
      <c r="R1256" s="18" t="s">
        <v>3511</v>
      </c>
      <c r="S1256" s="12"/>
      <c r="T1256" s="12"/>
      <c r="U1256" s="10" t="str">
        <f>HYPERLINK("https://pbs.twimg.com/profile_images/1857638127/2031519.jpg","View")</f>
        <v>View</v>
      </c>
    </row>
    <row r="1257" spans="1:21" ht="81.599999999999994">
      <c r="A1257" s="6">
        <v>43427.000034722223</v>
      </c>
      <c r="B1257" s="7" t="str">
        <f>HYPERLINK("https://twitter.com/elgrillohispano","@elgrillohispano")</f>
        <v>@elgrillohispano</v>
      </c>
      <c r="C1257" s="8" t="s">
        <v>4941</v>
      </c>
      <c r="D1257" s="9" t="s">
        <v>4942</v>
      </c>
      <c r="E1257" s="10" t="str">
        <f>HYPERLINK("https://twitter.com/elgrillohispano/status/1065741731461775361","1065741731461775361")</f>
        <v>1065741731461775361</v>
      </c>
      <c r="F1257" s="11" t="s">
        <v>443</v>
      </c>
      <c r="G1257" s="11" t="s">
        <v>444</v>
      </c>
      <c r="H1257" s="12"/>
      <c r="I1257" s="13">
        <v>0</v>
      </c>
      <c r="J1257" s="13">
        <v>0</v>
      </c>
      <c r="K1257" s="14" t="str">
        <f t="shared" si="205"/>
        <v>Twitter Web Client</v>
      </c>
      <c r="L1257" s="13">
        <v>753</v>
      </c>
      <c r="M1257" s="13">
        <v>1122</v>
      </c>
      <c r="N1257" s="13">
        <v>20</v>
      </c>
      <c r="O1257" s="15"/>
      <c r="P1257" s="6">
        <v>40837.094050925924</v>
      </c>
      <c r="Q1257" s="17" t="s">
        <v>4943</v>
      </c>
      <c r="R1257" s="18" t="s">
        <v>4944</v>
      </c>
      <c r="S1257" s="12"/>
      <c r="T1257" s="12"/>
      <c r="U1257" s="10" t="str">
        <f>HYPERLINK("https://pbs.twimg.com/profile_images/476705551909265408/6lNjULWd.jpeg","View")</f>
        <v>View</v>
      </c>
    </row>
    <row r="1258" spans="1:21" ht="20.399999999999999">
      <c r="A1258" s="6">
        <v>43426.999837962961</v>
      </c>
      <c r="B1258" s="7" t="str">
        <f>HYPERLINK("https://twitter.com/qmunty","@qmunty")</f>
        <v>@qmunty</v>
      </c>
      <c r="C1258" s="8" t="s">
        <v>4945</v>
      </c>
      <c r="D1258" s="9" t="s">
        <v>4946</v>
      </c>
      <c r="E1258" s="10" t="str">
        <f>HYPERLINK("https://twitter.com/qmunty/status/1065741657017122821","1065741657017122821")</f>
        <v>1065741657017122821</v>
      </c>
      <c r="F1258" s="11" t="s">
        <v>4947</v>
      </c>
      <c r="G1258" s="12"/>
      <c r="H1258" s="12"/>
      <c r="I1258" s="13">
        <v>0</v>
      </c>
      <c r="J1258" s="13">
        <v>0</v>
      </c>
      <c r="K1258" s="14" t="str">
        <f>HYPERLINK("https://buffer.com","Buffer")</f>
        <v>Buffer</v>
      </c>
      <c r="L1258" s="13">
        <v>6694</v>
      </c>
      <c r="M1258" s="13">
        <v>1526</v>
      </c>
      <c r="N1258" s="13">
        <v>268</v>
      </c>
      <c r="O1258" s="15"/>
      <c r="P1258" s="6">
        <v>40077.707986111112</v>
      </c>
      <c r="Q1258" s="17" t="s">
        <v>4948</v>
      </c>
      <c r="R1258" s="18" t="s">
        <v>4949</v>
      </c>
      <c r="S1258" s="11" t="s">
        <v>4950</v>
      </c>
      <c r="T1258" s="12"/>
      <c r="U1258" s="10" t="str">
        <f>HYPERLINK("https://pbs.twimg.com/profile_images/1739128206/Panther-Logo-Twitter.jpg","View")</f>
        <v>View</v>
      </c>
    </row>
    <row r="1259" spans="1:21" ht="20.399999999999999">
      <c r="A1259" s="6">
        <v>43426.999398148153</v>
      </c>
      <c r="B1259" s="7" t="str">
        <f>HYPERLINK("https://twitter.com/JAB_1951","@JAB_1951")</f>
        <v>@JAB_1951</v>
      </c>
      <c r="C1259" s="8" t="s">
        <v>4951</v>
      </c>
      <c r="D1259" s="9" t="s">
        <v>4952</v>
      </c>
      <c r="E1259" s="10" t="str">
        <f>HYPERLINK("https://twitter.com/JAB_1951/status/1065741499047034882","1065741499047034882")</f>
        <v>1065741499047034882</v>
      </c>
      <c r="F1259" s="11" t="s">
        <v>4953</v>
      </c>
      <c r="G1259" s="12"/>
      <c r="H1259" s="12"/>
      <c r="I1259" s="13">
        <v>0</v>
      </c>
      <c r="J1259" s="13">
        <v>0</v>
      </c>
      <c r="K1259" s="14" t="str">
        <f>HYPERLINK("http://www.facebook.com/twitter","Facebook")</f>
        <v>Facebook</v>
      </c>
      <c r="L1259" s="13">
        <v>638</v>
      </c>
      <c r="M1259" s="13">
        <v>1505</v>
      </c>
      <c r="N1259" s="13">
        <v>9</v>
      </c>
      <c r="O1259" s="15"/>
      <c r="P1259" s="6">
        <v>40559.854780092595</v>
      </c>
      <c r="Q1259" s="17" t="s">
        <v>28</v>
      </c>
      <c r="R1259" s="18" t="s">
        <v>4954</v>
      </c>
      <c r="S1259" s="11" t="s">
        <v>4955</v>
      </c>
      <c r="T1259" s="12"/>
      <c r="U1259" s="10" t="str">
        <f>HYPERLINK("https://pbs.twimg.com/profile_images/620197847615578112/DuuuUBAg.jpg","View")</f>
        <v>View</v>
      </c>
    </row>
    <row r="1260" spans="1:21" ht="40.799999999999997">
      <c r="A1260" s="6">
        <v>43426.998078703706</v>
      </c>
      <c r="B1260" s="7" t="str">
        <f>HYPERLINK("https://twitter.com/Trsurf","@Trsurf")</f>
        <v>@Trsurf</v>
      </c>
      <c r="C1260" s="8" t="s">
        <v>4956</v>
      </c>
      <c r="D1260" s="9" t="s">
        <v>3088</v>
      </c>
      <c r="E1260" s="10" t="str">
        <f>HYPERLINK("https://twitter.com/Trsurf/status/1065741021303193600","1065741021303193600")</f>
        <v>1065741021303193600</v>
      </c>
      <c r="F1260" s="11" t="s">
        <v>3089</v>
      </c>
      <c r="G1260" s="12"/>
      <c r="H1260" s="12"/>
      <c r="I1260" s="13">
        <v>0</v>
      </c>
      <c r="J1260" s="13">
        <v>0</v>
      </c>
      <c r="K1260" s="14" t="str">
        <f>HYPERLINK("https://ifttt.com","IFTTT")</f>
        <v>IFTTT</v>
      </c>
      <c r="L1260" s="13">
        <v>212</v>
      </c>
      <c r="M1260" s="13">
        <v>1178</v>
      </c>
      <c r="N1260" s="13">
        <v>3</v>
      </c>
      <c r="O1260" s="15"/>
      <c r="P1260" s="6">
        <v>42454.828425925924</v>
      </c>
      <c r="Q1260" s="17" t="s">
        <v>4957</v>
      </c>
      <c r="R1260" s="18" t="s">
        <v>4958</v>
      </c>
      <c r="S1260" s="11" t="s">
        <v>4959</v>
      </c>
      <c r="T1260" s="12"/>
      <c r="U1260" s="10" t="str">
        <f>HYPERLINK("https://pbs.twimg.com/profile_images/1040773961959845888/rZpfosVf.jpg","View")</f>
        <v>View</v>
      </c>
    </row>
    <row r="1261" spans="1:21" ht="40.799999999999997">
      <c r="A1261" s="6">
        <v>43426.997974537036</v>
      </c>
      <c r="B1261" s="7" t="str">
        <f>HYPERLINK("https://twitter.com/cartujano57gil","@cartujano57gil")</f>
        <v>@cartujano57gil</v>
      </c>
      <c r="C1261" s="8" t="s">
        <v>4960</v>
      </c>
      <c r="D1261" s="9" t="s">
        <v>4961</v>
      </c>
      <c r="E1261" s="10" t="str">
        <f>HYPERLINK("https://twitter.com/cartujano57gil/status/1065740983965544448","1065740983965544448")</f>
        <v>1065740983965544448</v>
      </c>
      <c r="F1261" s="11" t="s">
        <v>4962</v>
      </c>
      <c r="G1261" s="12"/>
      <c r="H1261" s="12"/>
      <c r="I1261" s="13">
        <v>0</v>
      </c>
      <c r="J1261" s="13">
        <v>0</v>
      </c>
      <c r="K1261" s="14" t="str">
        <f>HYPERLINK("http://www.facebook.com/twitter","Facebook")</f>
        <v>Facebook</v>
      </c>
      <c r="L1261" s="13">
        <v>107</v>
      </c>
      <c r="M1261" s="13">
        <v>305</v>
      </c>
      <c r="N1261" s="13">
        <v>3</v>
      </c>
      <c r="O1261" s="15"/>
      <c r="P1261" s="6">
        <v>42607.894965277781</v>
      </c>
      <c r="Q1261" s="17" t="s">
        <v>4963</v>
      </c>
      <c r="R1261" s="18" t="s">
        <v>4964</v>
      </c>
      <c r="S1261" s="12"/>
      <c r="T1261" s="12"/>
      <c r="U1261" s="10" t="str">
        <f>HYPERLINK("https://pbs.twimg.com/profile_images/769984638903255044/f-AxsW4K.jpg","View")</f>
        <v>View</v>
      </c>
    </row>
    <row r="1262" spans="1:21" ht="20.399999999999999">
      <c r="A1262" s="6">
        <v>43426.997199074074</v>
      </c>
      <c r="B1262" s="7" t="str">
        <f>HYPERLINK("https://twitter.com/HogarClub","@HogarClub")</f>
        <v>@HogarClub</v>
      </c>
      <c r="C1262" s="8" t="s">
        <v>4965</v>
      </c>
      <c r="D1262" s="9" t="s">
        <v>4966</v>
      </c>
      <c r="E1262" s="10" t="str">
        <f>HYPERLINK("https://twitter.com/HogarClub/status/1065740703303651328","1065740703303651328")</f>
        <v>1065740703303651328</v>
      </c>
      <c r="F1262" s="11" t="s">
        <v>4967</v>
      </c>
      <c r="G1262" s="11" t="s">
        <v>4968</v>
      </c>
      <c r="H1262" s="12"/>
      <c r="I1262" s="13">
        <v>0</v>
      </c>
      <c r="J1262" s="13">
        <v>0</v>
      </c>
      <c r="K1262" s="14" t="str">
        <f t="shared" ref="K1262:K1263" si="206">HYPERLINK("https://www.hootsuite.com","Hootsuite Inc.")</f>
        <v>Hootsuite Inc.</v>
      </c>
      <c r="L1262" s="13">
        <v>5</v>
      </c>
      <c r="M1262" s="13">
        <v>9</v>
      </c>
      <c r="N1262" s="13">
        <v>1</v>
      </c>
      <c r="O1262" s="15"/>
      <c r="P1262" s="6">
        <v>42294.059155092589</v>
      </c>
      <c r="Q1262" s="12"/>
      <c r="R1262" s="19"/>
      <c r="S1262" s="12"/>
      <c r="T1262" s="12"/>
      <c r="U1262" s="10" t="str">
        <f>HYPERLINK("https://pbs.twimg.com/profile_images/679073049199681536/uuvyopXm.jpg","View")</f>
        <v>View</v>
      </c>
    </row>
    <row r="1263" spans="1:21" ht="40.799999999999997">
      <c r="A1263" s="6">
        <v>43426.996967592597</v>
      </c>
      <c r="B1263" s="7" t="str">
        <f>HYPERLINK("https://twitter.com/CadenaAzul","@CadenaAzul")</f>
        <v>@CadenaAzul</v>
      </c>
      <c r="C1263" s="8" t="s">
        <v>4969</v>
      </c>
      <c r="D1263" s="9" t="s">
        <v>4966</v>
      </c>
      <c r="E1263" s="10" t="str">
        <f>HYPERLINK("https://twitter.com/CadenaAzul/status/1065740617999925248","1065740617999925248")</f>
        <v>1065740617999925248</v>
      </c>
      <c r="F1263" s="11" t="s">
        <v>4967</v>
      </c>
      <c r="G1263" s="11" t="s">
        <v>4970</v>
      </c>
      <c r="H1263" s="12"/>
      <c r="I1263" s="13">
        <v>0</v>
      </c>
      <c r="J1263" s="13">
        <v>0</v>
      </c>
      <c r="K1263" s="14" t="str">
        <f t="shared" si="206"/>
        <v>Hootsuite Inc.</v>
      </c>
      <c r="L1263" s="13">
        <v>286</v>
      </c>
      <c r="M1263" s="13">
        <v>67</v>
      </c>
      <c r="N1263" s="13">
        <v>8</v>
      </c>
      <c r="O1263" s="15"/>
      <c r="P1263" s="6">
        <v>39977.68949074074</v>
      </c>
      <c r="Q1263" s="17" t="s">
        <v>839</v>
      </c>
      <c r="R1263" s="18" t="s">
        <v>4971</v>
      </c>
      <c r="S1263" s="11" t="s">
        <v>4972</v>
      </c>
      <c r="T1263" s="12"/>
      <c r="U1263" s="10" t="str">
        <f>HYPERLINK("https://pbs.twimg.com/profile_images/763556132228993024/mVs_BU6b.jpg","View")</f>
        <v>View</v>
      </c>
    </row>
    <row r="1264" spans="1:21" ht="40.799999999999997">
      <c r="A1264" s="6">
        <v>43426.996481481481</v>
      </c>
      <c r="B1264" s="7" t="str">
        <f>HYPERLINK("https://twitter.com/pimentonverde","@pimentonverde")</f>
        <v>@pimentonverde</v>
      </c>
      <c r="C1264" s="8" t="s">
        <v>4973</v>
      </c>
      <c r="D1264" s="9" t="s">
        <v>4974</v>
      </c>
      <c r="E1264" s="10" t="str">
        <f>HYPERLINK("https://twitter.com/pimentonverde/status/1065740443965632512","1065740443965632512")</f>
        <v>1065740443965632512</v>
      </c>
      <c r="F1264" s="11" t="s">
        <v>4666</v>
      </c>
      <c r="G1264" s="12"/>
      <c r="H1264" s="12"/>
      <c r="I1264" s="13">
        <v>6</v>
      </c>
      <c r="J1264" s="13">
        <v>3</v>
      </c>
      <c r="K1264" s="14" t="str">
        <f>HYPERLINK("http://twitter.com/download/android","Twitter for Android")</f>
        <v>Twitter for Android</v>
      </c>
      <c r="L1264" s="13">
        <v>23371</v>
      </c>
      <c r="M1264" s="13">
        <v>565</v>
      </c>
      <c r="N1264" s="13">
        <v>135</v>
      </c>
      <c r="O1264" s="15"/>
      <c r="P1264" s="6">
        <v>40001.880381944444</v>
      </c>
      <c r="Q1264" s="12"/>
      <c r="R1264" s="18" t="s">
        <v>4975</v>
      </c>
      <c r="S1264" s="12"/>
      <c r="T1264" s="12"/>
      <c r="U1264" s="10" t="str">
        <f>HYPERLINK("https://pbs.twimg.com/profile_images/435243471272550400/Yrre1uGG.jpeg","View")</f>
        <v>View</v>
      </c>
    </row>
    <row r="1265" spans="1:21" ht="61.2">
      <c r="A1265" s="6">
        <v>43426.99627314815</v>
      </c>
      <c r="B1265" s="7" t="str">
        <f>HYPERLINK("https://twitter.com/s0ffi","@s0ffi")</f>
        <v>@s0ffi</v>
      </c>
      <c r="C1265" s="8" t="s">
        <v>4976</v>
      </c>
      <c r="D1265" s="9" t="s">
        <v>4977</v>
      </c>
      <c r="E1265" s="10" t="str">
        <f>HYPERLINK("https://twitter.com/s0ffi/status/1065740365804838912","1065740365804838912")</f>
        <v>1065740365804838912</v>
      </c>
      <c r="F1265" s="11" t="s">
        <v>120</v>
      </c>
      <c r="G1265" s="12"/>
      <c r="H1265" s="12"/>
      <c r="I1265" s="13">
        <v>0</v>
      </c>
      <c r="J1265" s="13">
        <v>0</v>
      </c>
      <c r="K1265" s="14" t="str">
        <f>HYPERLINK("http://twitter.com/#!/download/ipad","Twitter for iPad")</f>
        <v>Twitter for iPad</v>
      </c>
      <c r="L1265" s="13">
        <v>424</v>
      </c>
      <c r="M1265" s="13">
        <v>372</v>
      </c>
      <c r="N1265" s="13">
        <v>34</v>
      </c>
      <c r="O1265" s="15"/>
      <c r="P1265" s="6">
        <v>39919.584247685183</v>
      </c>
      <c r="Q1265" s="17" t="s">
        <v>4707</v>
      </c>
      <c r="R1265" s="18" t="s">
        <v>4978</v>
      </c>
      <c r="S1265" s="11" t="s">
        <v>4979</v>
      </c>
      <c r="T1265" s="12"/>
      <c r="U1265" s="10" t="str">
        <f>HYPERLINK("https://pbs.twimg.com/profile_images/922907457239777281/4POja_Ml.jpg","View")</f>
        <v>View</v>
      </c>
    </row>
    <row r="1266" spans="1:21" ht="30.6">
      <c r="A1266" s="6">
        <v>43426.996041666665</v>
      </c>
      <c r="B1266" s="7" t="str">
        <f>HYPERLINK("https://twitter.com/okdiario","@okdiario")</f>
        <v>@okdiario</v>
      </c>
      <c r="C1266" s="8" t="s">
        <v>4980</v>
      </c>
      <c r="D1266" s="9" t="s">
        <v>4981</v>
      </c>
      <c r="E1266" s="10" t="str">
        <f>HYPERLINK("https://twitter.com/okdiario/status/1065740282392715264","1065740282392715264")</f>
        <v>1065740282392715264</v>
      </c>
      <c r="F1266" s="11" t="s">
        <v>4982</v>
      </c>
      <c r="G1266" s="12"/>
      <c r="H1266" s="12"/>
      <c r="I1266" s="13">
        <v>2</v>
      </c>
      <c r="J1266" s="13">
        <v>4</v>
      </c>
      <c r="K1266" s="14" t="str">
        <f>HYPERLINK("https://www.echobox.com","Echobox Social")</f>
        <v>Echobox Social</v>
      </c>
      <c r="L1266" s="13">
        <v>109324</v>
      </c>
      <c r="M1266" s="13">
        <v>337</v>
      </c>
      <c r="N1266" s="13">
        <v>1423</v>
      </c>
      <c r="O1266" s="16" t="s">
        <v>26</v>
      </c>
      <c r="P1266" s="6">
        <v>42241.708229166667</v>
      </c>
      <c r="Q1266" s="12"/>
      <c r="R1266" s="18" t="s">
        <v>4983</v>
      </c>
      <c r="S1266" s="11" t="s">
        <v>4984</v>
      </c>
      <c r="T1266" s="12"/>
      <c r="U1266" s="10" t="str">
        <f>HYPERLINK("https://pbs.twimg.com/profile_images/789113773697208320/3LvFvi8Q.jpg","View")</f>
        <v>View</v>
      </c>
    </row>
    <row r="1267" spans="1:21" ht="20.399999999999999">
      <c r="A1267" s="6">
        <v>43426.995613425926</v>
      </c>
      <c r="B1267" s="7" t="str">
        <f>HYPERLINK("https://twitter.com/Noticias24Info","@Noticias24Info")</f>
        <v>@Noticias24Info</v>
      </c>
      <c r="C1267" s="8" t="s">
        <v>4985</v>
      </c>
      <c r="D1267" s="9" t="s">
        <v>1334</v>
      </c>
      <c r="E1267" s="10" t="str">
        <f>HYPERLINK("https://twitter.com/Noticias24Info/status/1065740126939037696","1065740126939037696")</f>
        <v>1065740126939037696</v>
      </c>
      <c r="F1267" s="11" t="s">
        <v>4986</v>
      </c>
      <c r="G1267" s="11" t="s">
        <v>4987</v>
      </c>
      <c r="H1267" s="12"/>
      <c r="I1267" s="13">
        <v>0</v>
      </c>
      <c r="J1267" s="13">
        <v>0</v>
      </c>
      <c r="K1267" s="14" t="str">
        <f>HYPERLINK("http://publicize.wp.com/","WordPress.com")</f>
        <v>WordPress.com</v>
      </c>
      <c r="L1267" s="13">
        <v>88</v>
      </c>
      <c r="M1267" s="13">
        <v>12</v>
      </c>
      <c r="N1267" s="13">
        <v>1</v>
      </c>
      <c r="O1267" s="15"/>
      <c r="P1267" s="6">
        <v>43022.25399305555</v>
      </c>
      <c r="Q1267" s="12"/>
      <c r="R1267" s="19"/>
      <c r="S1267" s="12"/>
      <c r="T1267" s="12"/>
      <c r="U1267" s="10" t="str">
        <f>HYPERLINK("https://pbs.twimg.com/profile_images/920127171724681217/KQtG1ihS.jpg","View")</f>
        <v>View</v>
      </c>
    </row>
    <row r="1268" spans="1:21" ht="40.799999999999997">
      <c r="A1268" s="6">
        <v>43426.995532407411</v>
      </c>
      <c r="B1268" s="7" t="str">
        <f>HYPERLINK("https://twitter.com/LaPoderosa670","@LaPoderosa670")</f>
        <v>@LaPoderosa670</v>
      </c>
      <c r="C1268" s="8" t="s">
        <v>4988</v>
      </c>
      <c r="D1268" s="9" t="s">
        <v>4966</v>
      </c>
      <c r="E1268" s="10" t="str">
        <f>HYPERLINK("https://twitter.com/LaPoderosa670/status/1065740096752807936","1065740096752807936")</f>
        <v>1065740096752807936</v>
      </c>
      <c r="F1268" s="11" t="s">
        <v>4967</v>
      </c>
      <c r="G1268" s="11" t="s">
        <v>4989</v>
      </c>
      <c r="H1268" s="12"/>
      <c r="I1268" s="13">
        <v>0</v>
      </c>
      <c r="J1268" s="13">
        <v>0</v>
      </c>
      <c r="K1268" s="14" t="str">
        <f>HYPERLINK("https://www.hootsuite.com","Hootsuite Inc.")</f>
        <v>Hootsuite Inc.</v>
      </c>
      <c r="L1268" s="13">
        <v>1007</v>
      </c>
      <c r="M1268" s="13">
        <v>278</v>
      </c>
      <c r="N1268" s="13">
        <v>23</v>
      </c>
      <c r="O1268" s="15"/>
      <c r="P1268" s="6">
        <v>39977.683981481481</v>
      </c>
      <c r="Q1268" s="17" t="s">
        <v>839</v>
      </c>
      <c r="R1268" s="18" t="s">
        <v>4990</v>
      </c>
      <c r="S1268" s="11" t="s">
        <v>4991</v>
      </c>
      <c r="T1268" s="12"/>
      <c r="U1268" s="10" t="str">
        <f>HYPERLINK("https://pbs.twimg.com/profile_images/763554630957568000/rbt2s1U9.jpg","View")</f>
        <v>View</v>
      </c>
    </row>
    <row r="1269" spans="1:21" ht="20.399999999999999">
      <c r="A1269" s="6">
        <v>43426.995300925926</v>
      </c>
      <c r="B1269" s="7" t="str">
        <f>HYPERLINK("https://twitter.com/ManuSanchezG","@ManuSanchezG")</f>
        <v>@ManuSanchezG</v>
      </c>
      <c r="C1269" s="8" t="s">
        <v>899</v>
      </c>
      <c r="D1269" s="9" t="s">
        <v>4992</v>
      </c>
      <c r="E1269" s="10" t="str">
        <f>HYPERLINK("https://twitter.com/ManuSanchezG/status/1065740012401164288","1065740012401164288")</f>
        <v>1065740012401164288</v>
      </c>
      <c r="F1269" s="12"/>
      <c r="G1269" s="11" t="s">
        <v>4993</v>
      </c>
      <c r="H1269" s="12"/>
      <c r="I1269" s="13">
        <v>0</v>
      </c>
      <c r="J1269" s="13">
        <v>7</v>
      </c>
      <c r="K1269" s="14" t="str">
        <f>HYPERLINK("http://twitter.com/download/iphone","Twitter for iPhone")</f>
        <v>Twitter for iPhone</v>
      </c>
      <c r="L1269" s="13">
        <v>6051</v>
      </c>
      <c r="M1269" s="13">
        <v>1381</v>
      </c>
      <c r="N1269" s="13">
        <v>175</v>
      </c>
      <c r="O1269" s="15"/>
      <c r="P1269" s="6">
        <v>40905.003888888888</v>
      </c>
      <c r="Q1269" s="12"/>
      <c r="R1269" s="18" t="s">
        <v>901</v>
      </c>
      <c r="S1269" s="12"/>
      <c r="T1269" s="12"/>
      <c r="U1269" s="10" t="str">
        <f>HYPERLINK("https://pbs.twimg.com/profile_images/978221461742682113/C133RKc1.jpg","View")</f>
        <v>View</v>
      </c>
    </row>
    <row r="1270" spans="1:21" ht="51">
      <c r="A1270" s="6">
        <v>43426.994826388887</v>
      </c>
      <c r="B1270" s="7" t="str">
        <f>HYPERLINK("https://twitter.com/PapiOsote","@PapiOsote")</f>
        <v>@PapiOsote</v>
      </c>
      <c r="C1270" s="8" t="s">
        <v>4994</v>
      </c>
      <c r="D1270" s="9" t="s">
        <v>4995</v>
      </c>
      <c r="E1270" s="10" t="str">
        <f>HYPERLINK("https://twitter.com/PapiOsote/status/1065739842749902848","1065739842749902848")</f>
        <v>1065739842749902848</v>
      </c>
      <c r="F1270" s="11" t="s">
        <v>4996</v>
      </c>
      <c r="G1270" s="12"/>
      <c r="H1270" s="12"/>
      <c r="I1270" s="13">
        <v>0</v>
      </c>
      <c r="J1270" s="13">
        <v>0</v>
      </c>
      <c r="K1270" s="14" t="str">
        <f>HYPERLINK("http://twitter.com","Twitter Web Client")</f>
        <v>Twitter Web Client</v>
      </c>
      <c r="L1270" s="13">
        <v>155</v>
      </c>
      <c r="M1270" s="13">
        <v>392</v>
      </c>
      <c r="N1270" s="13">
        <v>0</v>
      </c>
      <c r="O1270" s="15"/>
      <c r="P1270" s="6">
        <v>41622.905995370369</v>
      </c>
      <c r="Q1270" s="17" t="s">
        <v>191</v>
      </c>
      <c r="R1270" s="18" t="s">
        <v>4997</v>
      </c>
      <c r="S1270" s="12"/>
      <c r="T1270" s="12"/>
      <c r="U1270" s="10" t="str">
        <f>HYPERLINK("https://pbs.twimg.com/profile_images/714578586775265282/2I2DLwJE.jpg","View")</f>
        <v>View</v>
      </c>
    </row>
    <row r="1271" spans="1:21" ht="30.6">
      <c r="A1271" s="6">
        <v>43426.994456018518</v>
      </c>
      <c r="B1271" s="7" t="str">
        <f>HYPERLINK("https://twitter.com/BicePortinari1","@BicePortinari1")</f>
        <v>@BicePortinari1</v>
      </c>
      <c r="C1271" s="8" t="s">
        <v>4998</v>
      </c>
      <c r="D1271" s="9" t="s">
        <v>4999</v>
      </c>
      <c r="E1271" s="10" t="str">
        <f>HYPERLINK("https://twitter.com/BicePortinari1/status/1065739708024713218","1065739708024713218")</f>
        <v>1065739708024713218</v>
      </c>
      <c r="F1271" s="12"/>
      <c r="G1271" s="12"/>
      <c r="H1271" s="12"/>
      <c r="I1271" s="13">
        <v>0</v>
      </c>
      <c r="J1271" s="13">
        <v>0</v>
      </c>
      <c r="K1271" s="14" t="str">
        <f>HYPERLINK("http://twitter.com/download/iphone","Twitter for iPhone")</f>
        <v>Twitter for iPhone</v>
      </c>
      <c r="L1271" s="13">
        <v>1711</v>
      </c>
      <c r="M1271" s="13">
        <v>791</v>
      </c>
      <c r="N1271" s="13">
        <v>7</v>
      </c>
      <c r="O1271" s="15"/>
      <c r="P1271" s="6">
        <v>42817.94158564815</v>
      </c>
      <c r="Q1271" s="12"/>
      <c r="R1271" s="18" t="s">
        <v>5000</v>
      </c>
      <c r="S1271" s="12"/>
      <c r="T1271" s="12"/>
      <c r="U1271" s="10" t="str">
        <f>HYPERLINK("https://pbs.twimg.com/profile_images/845029541009653762/ERBmHRIT.jpg","View")</f>
        <v>View</v>
      </c>
    </row>
    <row r="1272" spans="1:21" ht="30.6">
      <c r="A1272" s="6">
        <v>43426.994120370371</v>
      </c>
      <c r="B1272" s="7" t="str">
        <f>HYPERLINK("https://twitter.com/NoticiasVeApp","@NoticiasVeApp")</f>
        <v>@NoticiasVeApp</v>
      </c>
      <c r="C1272" s="8" t="s">
        <v>4070</v>
      </c>
      <c r="D1272" s="9" t="s">
        <v>1334</v>
      </c>
      <c r="E1272" s="10" t="str">
        <f>HYPERLINK("https://twitter.com/NoticiasVeApp/status/1065739586855469067","1065739586855469067")</f>
        <v>1065739586855469067</v>
      </c>
      <c r="F1272" s="11" t="s">
        <v>5001</v>
      </c>
      <c r="G1272" s="12"/>
      <c r="H1272" s="12"/>
      <c r="I1272" s="13">
        <v>0</v>
      </c>
      <c r="J1272" s="13">
        <v>0</v>
      </c>
      <c r="K1272" s="14" t="str">
        <f>HYPERLINK("http://gunow.co.ve","Gunow LA")</f>
        <v>Gunow LA</v>
      </c>
      <c r="L1272" s="13">
        <v>2446</v>
      </c>
      <c r="M1272" s="13">
        <v>119</v>
      </c>
      <c r="N1272" s="13">
        <v>79</v>
      </c>
      <c r="O1272" s="15"/>
      <c r="P1272" s="6">
        <v>42246.74318287037</v>
      </c>
      <c r="Q1272" s="17" t="s">
        <v>104</v>
      </c>
      <c r="R1272" s="18" t="s">
        <v>5002</v>
      </c>
      <c r="S1272" s="11" t="s">
        <v>5003</v>
      </c>
      <c r="T1272" s="12"/>
      <c r="U1272" s="10" t="str">
        <f>HYPERLINK("https://pbs.twimg.com/profile_images/775773759051628544/jCU7-Mqp.jpg","View")</f>
        <v>View</v>
      </c>
    </row>
    <row r="1273" spans="1:21" ht="20.399999999999999">
      <c r="A1273" s="6">
        <v>43426.994004629625</v>
      </c>
      <c r="B1273" s="7" t="str">
        <f>HYPERLINK("https://twitter.com/FranCabrestante","@FranCabrestante")</f>
        <v>@FranCabrestante</v>
      </c>
      <c r="C1273" s="8" t="s">
        <v>5004</v>
      </c>
      <c r="D1273" s="9" t="s">
        <v>2981</v>
      </c>
      <c r="E1273" s="10" t="str">
        <f>HYPERLINK("https://twitter.com/FranCabrestante/status/1065739544358780928","1065739544358780928")</f>
        <v>1065739544358780928</v>
      </c>
      <c r="F1273" s="11" t="s">
        <v>5005</v>
      </c>
      <c r="G1273" s="12"/>
      <c r="H1273" s="12"/>
      <c r="I1273" s="13">
        <v>0</v>
      </c>
      <c r="J1273" s="13">
        <v>0</v>
      </c>
      <c r="K1273" s="14" t="str">
        <f>HYPERLINK("http://twitter.com/download/android","Twitter for Android")</f>
        <v>Twitter for Android</v>
      </c>
      <c r="L1273" s="13">
        <v>76</v>
      </c>
      <c r="M1273" s="13">
        <v>430</v>
      </c>
      <c r="N1273" s="13">
        <v>1</v>
      </c>
      <c r="O1273" s="15"/>
      <c r="P1273" s="6">
        <v>42017.875775462962</v>
      </c>
      <c r="Q1273" s="12"/>
      <c r="R1273" s="19"/>
      <c r="S1273" s="12"/>
      <c r="T1273" s="12"/>
      <c r="U1273" s="16" t="s">
        <v>373</v>
      </c>
    </row>
    <row r="1274" spans="1:21" ht="20.399999999999999">
      <c r="A1274" s="6">
        <v>43426.993900462963</v>
      </c>
      <c r="B1274" s="7" t="str">
        <f>HYPERLINK("https://twitter.com/NDtitulares","@NDtitulares")</f>
        <v>@NDtitulares</v>
      </c>
      <c r="C1274" s="8" t="s">
        <v>4166</v>
      </c>
      <c r="D1274" s="9" t="s">
        <v>3190</v>
      </c>
      <c r="E1274" s="10" t="str">
        <f>HYPERLINK("https://twitter.com/NDtitulares/status/1065739506546991104","1065739506546991104")</f>
        <v>1065739506546991104</v>
      </c>
      <c r="F1274" s="11" t="s">
        <v>4666</v>
      </c>
      <c r="G1274" s="11" t="s">
        <v>5006</v>
      </c>
      <c r="H1274" s="12"/>
      <c r="I1274" s="13">
        <v>1</v>
      </c>
      <c r="J1274" s="13">
        <v>0</v>
      </c>
      <c r="K1274" s="14" t="str">
        <f>HYPERLINK("http://www.noticierodigital.com","PublicarTuitsDesdeWP")</f>
        <v>PublicarTuitsDesdeWP</v>
      </c>
      <c r="L1274" s="13">
        <v>717211</v>
      </c>
      <c r="M1274" s="13">
        <v>1611</v>
      </c>
      <c r="N1274" s="13">
        <v>3756</v>
      </c>
      <c r="O1274" s="15"/>
      <c r="P1274" s="6">
        <v>39930.715879629628</v>
      </c>
      <c r="Q1274" s="17" t="s">
        <v>104</v>
      </c>
      <c r="R1274" s="18" t="s">
        <v>4167</v>
      </c>
      <c r="S1274" s="11" t="s">
        <v>4168</v>
      </c>
      <c r="T1274" s="12"/>
      <c r="U1274" s="10" t="str">
        <f>HYPERLINK("https://pbs.twimg.com/profile_images/875451743815053313/Xr2jDG9I.jpg","View")</f>
        <v>View</v>
      </c>
    </row>
    <row r="1275" spans="1:21" ht="51">
      <c r="A1275" s="6">
        <v>43426.99381944444</v>
      </c>
      <c r="B1275" s="7" t="str">
        <f>HYPERLINK("https://twitter.com/misskilauea","@misskilauea")</f>
        <v>@misskilauea</v>
      </c>
      <c r="C1275" s="8" t="s">
        <v>5007</v>
      </c>
      <c r="D1275" s="9" t="s">
        <v>5008</v>
      </c>
      <c r="E1275" s="10" t="str">
        <f>HYPERLINK("https://twitter.com/misskilauea/status/1065739477044379659","1065739477044379659")</f>
        <v>1065739477044379659</v>
      </c>
      <c r="F1275" s="12"/>
      <c r="G1275" s="12"/>
      <c r="H1275" s="12"/>
      <c r="I1275" s="13">
        <v>0</v>
      </c>
      <c r="J1275" s="13">
        <v>14</v>
      </c>
      <c r="K1275" s="14" t="str">
        <f>HYPERLINK("http://twitter.com","Twitter Web Client")</f>
        <v>Twitter Web Client</v>
      </c>
      <c r="L1275" s="13">
        <v>1083</v>
      </c>
      <c r="M1275" s="13">
        <v>271</v>
      </c>
      <c r="N1275" s="13">
        <v>8</v>
      </c>
      <c r="O1275" s="15"/>
      <c r="P1275" s="6">
        <v>43410.55268518519</v>
      </c>
      <c r="Q1275" s="12"/>
      <c r="R1275" s="18" t="s">
        <v>5009</v>
      </c>
      <c r="S1275" s="12"/>
      <c r="T1275" s="12"/>
      <c r="U1275" s="10" t="str">
        <f>HYPERLINK("https://pbs.twimg.com/profile_images/1060854888803000320/UuQpJqB5.jpg","View")</f>
        <v>View</v>
      </c>
    </row>
    <row r="1276" spans="1:21" ht="30.6">
      <c r="A1276" s="6">
        <v>43426.993101851855</v>
      </c>
      <c r="B1276" s="7" t="str">
        <f>HYPERLINK("https://twitter.com/javiergarmon191","@javiergarmon191")</f>
        <v>@javiergarmon191</v>
      </c>
      <c r="C1276" s="8" t="s">
        <v>5010</v>
      </c>
      <c r="D1276" s="9" t="s">
        <v>5011</v>
      </c>
      <c r="E1276" s="10" t="str">
        <f>HYPERLINK("https://twitter.com/javiergarmon191/status/1065739217253400578","1065739217253400578")</f>
        <v>1065739217253400578</v>
      </c>
      <c r="F1276" s="11" t="s">
        <v>5012</v>
      </c>
      <c r="G1276" s="11" t="s">
        <v>5013</v>
      </c>
      <c r="H1276" s="12"/>
      <c r="I1276" s="13">
        <v>0</v>
      </c>
      <c r="J1276" s="13">
        <v>1</v>
      </c>
      <c r="K1276" s="14" t="str">
        <f>HYPERLINK("http://twitter.com/download/android","Twitter for Android")</f>
        <v>Twitter for Android</v>
      </c>
      <c r="L1276" s="13">
        <v>367</v>
      </c>
      <c r="M1276" s="13">
        <v>224</v>
      </c>
      <c r="N1276" s="13">
        <v>2</v>
      </c>
      <c r="O1276" s="15"/>
      <c r="P1276" s="6">
        <v>42156.967928240745</v>
      </c>
      <c r="Q1276" s="17" t="s">
        <v>5014</v>
      </c>
      <c r="R1276" s="18" t="s">
        <v>5015</v>
      </c>
      <c r="S1276" s="12"/>
      <c r="T1276" s="12"/>
      <c r="U1276" s="10" t="str">
        <f>HYPERLINK("https://pbs.twimg.com/profile_images/703987670381412353/gQjRj1aX.jpg","View")</f>
        <v>View</v>
      </c>
    </row>
    <row r="1277" spans="1:21" ht="40.799999999999997">
      <c r="A1277" s="6">
        <v>43426.992731481485</v>
      </c>
      <c r="B1277" s="7" t="str">
        <f>HYPERLINK("https://twitter.com/guillermoordas_","@guillermoordas_")</f>
        <v>@guillermoordas_</v>
      </c>
      <c r="C1277" s="8" t="s">
        <v>5016</v>
      </c>
      <c r="D1277" s="9" t="s">
        <v>5017</v>
      </c>
      <c r="E1277" s="10" t="str">
        <f>HYPERLINK("https://twitter.com/guillermoordas_/status/1065739082385555456","1065739082385555456")</f>
        <v>1065739082385555456</v>
      </c>
      <c r="F1277" s="12"/>
      <c r="G1277" s="11" t="s">
        <v>5018</v>
      </c>
      <c r="H1277" s="12"/>
      <c r="I1277" s="13">
        <v>3</v>
      </c>
      <c r="J1277" s="13">
        <v>0</v>
      </c>
      <c r="K1277" s="14" t="str">
        <f>HYPERLINK("http://twitter.com/#!/download/ipad","Twitter for iPad")</f>
        <v>Twitter for iPad</v>
      </c>
      <c r="L1277" s="13">
        <v>15347</v>
      </c>
      <c r="M1277" s="13">
        <v>14781</v>
      </c>
      <c r="N1277" s="13">
        <v>73</v>
      </c>
      <c r="O1277" s="15"/>
      <c r="P1277" s="6">
        <v>42000.502812499995</v>
      </c>
      <c r="Q1277" s="17" t="s">
        <v>410</v>
      </c>
      <c r="R1277" s="18" t="s">
        <v>5019</v>
      </c>
      <c r="S1277" s="12"/>
      <c r="T1277" s="12"/>
      <c r="U1277" s="10" t="str">
        <f>HYPERLINK("https://pbs.twimg.com/profile_images/1050019578737233921/lQ65O313.jpg","View")</f>
        <v>View</v>
      </c>
    </row>
    <row r="1278" spans="1:21" ht="40.799999999999997">
      <c r="A1278" s="6">
        <v>43426.992442129631</v>
      </c>
      <c r="B1278" s="7" t="str">
        <f>HYPERLINK("https://twitter.com/la_patilla","@la_patilla")</f>
        <v>@la_patilla</v>
      </c>
      <c r="C1278" s="8" t="s">
        <v>1333</v>
      </c>
      <c r="D1278" s="9" t="s">
        <v>1334</v>
      </c>
      <c r="E1278" s="10" t="str">
        <f>HYPERLINK("https://twitter.com/la_patilla/status/1065738977636958209","1065738977636958209")</f>
        <v>1065738977636958209</v>
      </c>
      <c r="F1278" s="11" t="s">
        <v>1335</v>
      </c>
      <c r="G1278" s="12"/>
      <c r="H1278" s="12"/>
      <c r="I1278" s="13">
        <v>2</v>
      </c>
      <c r="J1278" s="13">
        <v>0</v>
      </c>
      <c r="K1278" s="14" t="str">
        <f>HYPERLINK("https://about.twitter.com/products/tweetdeck","TweetDeck")</f>
        <v>TweetDeck</v>
      </c>
      <c r="L1278" s="13">
        <v>6829404</v>
      </c>
      <c r="M1278" s="13">
        <v>150</v>
      </c>
      <c r="N1278" s="13">
        <v>16420</v>
      </c>
      <c r="O1278" s="16" t="s">
        <v>26</v>
      </c>
      <c r="P1278" s="6">
        <v>40255.626388888893</v>
      </c>
      <c r="Q1278" s="17" t="s">
        <v>104</v>
      </c>
      <c r="R1278" s="18" t="s">
        <v>1336</v>
      </c>
      <c r="S1278" s="11" t="s">
        <v>1337</v>
      </c>
      <c r="T1278" s="12"/>
      <c r="U1278" s="10" t="str">
        <f>HYPERLINK("https://pbs.twimg.com/profile_images/886301529627475969/KslqP3me.jpg","View")</f>
        <v>View</v>
      </c>
    </row>
    <row r="1279" spans="1:21" ht="20.399999999999999">
      <c r="A1279" s="6">
        <v>43426.992025462961</v>
      </c>
      <c r="B1279" s="7" t="str">
        <f>HYPERLINK("https://twitter.com/NDtitulares","@NDtitulares")</f>
        <v>@NDtitulares</v>
      </c>
      <c r="C1279" s="8" t="s">
        <v>4166</v>
      </c>
      <c r="D1279" s="9" t="s">
        <v>3190</v>
      </c>
      <c r="E1279" s="10" t="str">
        <f>HYPERLINK("https://twitter.com/NDtitulares/status/1065738827157823488","1065738827157823488")</f>
        <v>1065738827157823488</v>
      </c>
      <c r="F1279" s="11" t="s">
        <v>4666</v>
      </c>
      <c r="G1279" s="11" t="s">
        <v>5021</v>
      </c>
      <c r="H1279" s="12"/>
      <c r="I1279" s="13">
        <v>0</v>
      </c>
      <c r="J1279" s="13">
        <v>0</v>
      </c>
      <c r="K1279" s="14" t="str">
        <f>HYPERLINK("http://www.noticierodigital.com","PublicarTuitsDesdeWP")</f>
        <v>PublicarTuitsDesdeWP</v>
      </c>
      <c r="L1279" s="13">
        <v>717211</v>
      </c>
      <c r="M1279" s="13">
        <v>1611</v>
      </c>
      <c r="N1279" s="13">
        <v>3756</v>
      </c>
      <c r="O1279" s="15"/>
      <c r="P1279" s="6">
        <v>39930.715879629628</v>
      </c>
      <c r="Q1279" s="17" t="s">
        <v>104</v>
      </c>
      <c r="R1279" s="18" t="s">
        <v>4167</v>
      </c>
      <c r="S1279" s="11" t="s">
        <v>4168</v>
      </c>
      <c r="T1279" s="12"/>
      <c r="U1279" s="10" t="str">
        <f>HYPERLINK("https://pbs.twimg.com/profile_images/875451743815053313/Xr2jDG9I.jpg","View")</f>
        <v>View</v>
      </c>
    </row>
    <row r="1280" spans="1:21" ht="81.599999999999994">
      <c r="A1280" s="6">
        <v>43426.992013888885</v>
      </c>
      <c r="B1280" s="7" t="str">
        <f>HYPERLINK("https://twitter.com/JOSEMAN4470","@JOSEMAN4470")</f>
        <v>@JOSEMAN4470</v>
      </c>
      <c r="C1280" s="8" t="s">
        <v>5022</v>
      </c>
      <c r="D1280" s="9" t="s">
        <v>5023</v>
      </c>
      <c r="E1280" s="10" t="str">
        <f>HYPERLINK("https://twitter.com/JOSEMAN4470/status/1065738823253008390","1065738823253008390")</f>
        <v>1065738823253008390</v>
      </c>
      <c r="F1280" s="11" t="s">
        <v>5024</v>
      </c>
      <c r="G1280" s="12"/>
      <c r="H1280" s="12"/>
      <c r="I1280" s="13">
        <v>0</v>
      </c>
      <c r="J1280" s="13">
        <v>0</v>
      </c>
      <c r="K1280" s="14" t="str">
        <f>HYPERLINK("http://twitter.com/download/android","Twitter for Android")</f>
        <v>Twitter for Android</v>
      </c>
      <c r="L1280" s="13">
        <v>238</v>
      </c>
      <c r="M1280" s="13">
        <v>680</v>
      </c>
      <c r="N1280" s="13">
        <v>19</v>
      </c>
      <c r="O1280" s="15"/>
      <c r="P1280" s="6">
        <v>41772.787488425922</v>
      </c>
      <c r="Q1280" s="17" t="s">
        <v>5025</v>
      </c>
      <c r="R1280" s="18" t="s">
        <v>5026</v>
      </c>
      <c r="S1280" s="12"/>
      <c r="T1280" s="12"/>
      <c r="U1280" s="10" t="str">
        <f>HYPERLINK("https://pbs.twimg.com/profile_images/759832820202164224/ul0jvP-Q.jpg","View")</f>
        <v>View</v>
      </c>
    </row>
    <row r="1281" spans="1:21" ht="20.399999999999999">
      <c r="A1281" s="6">
        <v>43426.9918287037</v>
      </c>
      <c r="B1281" s="7" t="str">
        <f>HYPERLINK("https://twitter.com/NDtitulares","@NDtitulares")</f>
        <v>@NDtitulares</v>
      </c>
      <c r="C1281" s="8" t="s">
        <v>4166</v>
      </c>
      <c r="D1281" s="9" t="s">
        <v>3190</v>
      </c>
      <c r="E1281" s="10" t="str">
        <f>HYPERLINK("https://twitter.com/NDtitulares/status/1065738755435245568","1065738755435245568")</f>
        <v>1065738755435245568</v>
      </c>
      <c r="F1281" s="11" t="s">
        <v>4666</v>
      </c>
      <c r="G1281" s="11" t="s">
        <v>5027</v>
      </c>
      <c r="H1281" s="12"/>
      <c r="I1281" s="13">
        <v>0</v>
      </c>
      <c r="J1281" s="13">
        <v>0</v>
      </c>
      <c r="K1281" s="14" t="str">
        <f>HYPERLINK("http://www.noticierodigital.com","PublicarTuitsDesdeWP")</f>
        <v>PublicarTuitsDesdeWP</v>
      </c>
      <c r="L1281" s="13">
        <v>717211</v>
      </c>
      <c r="M1281" s="13">
        <v>1611</v>
      </c>
      <c r="N1281" s="13">
        <v>3756</v>
      </c>
      <c r="O1281" s="15"/>
      <c r="P1281" s="6">
        <v>39930.715879629628</v>
      </c>
      <c r="Q1281" s="17" t="s">
        <v>104</v>
      </c>
      <c r="R1281" s="18" t="s">
        <v>4167</v>
      </c>
      <c r="S1281" s="11" t="s">
        <v>4168</v>
      </c>
      <c r="T1281" s="12"/>
      <c r="U1281" s="10" t="str">
        <f>HYPERLINK("https://pbs.twimg.com/profile_images/875451743815053313/Xr2jDG9I.jpg","View")</f>
        <v>View</v>
      </c>
    </row>
    <row r="1282" spans="1:21" ht="20.399999999999999">
      <c r="A1282" s="6">
        <v>43426.991689814815</v>
      </c>
      <c r="B1282" s="7" t="str">
        <f>HYPERLINK("https://twitter.com/InfoSinBandera","@InfoSinBandera")</f>
        <v>@InfoSinBandera</v>
      </c>
      <c r="C1282" s="8" t="s">
        <v>824</v>
      </c>
      <c r="D1282" s="9" t="s">
        <v>5028</v>
      </c>
      <c r="E1282" s="10" t="str">
        <f>HYPERLINK("https://twitter.com/InfoSinBandera/status/1065738706940768257","1065738706940768257")</f>
        <v>1065738706940768257</v>
      </c>
      <c r="F1282" s="11" t="s">
        <v>5029</v>
      </c>
      <c r="G1282" s="11" t="s">
        <v>5030</v>
      </c>
      <c r="H1282" s="12"/>
      <c r="I1282" s="13">
        <v>0</v>
      </c>
      <c r="J1282" s="13">
        <v>0</v>
      </c>
      <c r="K1282" s="14" t="str">
        <f>HYPERLINK("http://www.informesinbandera.com/","InfoSinBanderaApp")</f>
        <v>InfoSinBanderaApp</v>
      </c>
      <c r="L1282" s="13">
        <v>58233</v>
      </c>
      <c r="M1282" s="13">
        <v>57624</v>
      </c>
      <c r="N1282" s="13">
        <v>113</v>
      </c>
      <c r="O1282" s="15"/>
      <c r="P1282" s="6">
        <v>41310.720555555556</v>
      </c>
      <c r="Q1282" s="12"/>
      <c r="R1282" s="18" t="s">
        <v>829</v>
      </c>
      <c r="S1282" s="11" t="s">
        <v>830</v>
      </c>
      <c r="T1282" s="12"/>
      <c r="U1282" s="10" t="str">
        <f>HYPERLINK("https://pbs.twimg.com/profile_images/556874162002620416/uqPOBVyi.png","View")</f>
        <v>View</v>
      </c>
    </row>
    <row r="1283" spans="1:21" ht="40.799999999999997">
      <c r="A1283" s="6">
        <v>43426.991585648153</v>
      </c>
      <c r="B1283" s="7" t="str">
        <f>HYPERLINK("https://twitter.com/VanAndNum","@VanAndNum")</f>
        <v>@VanAndNum</v>
      </c>
      <c r="C1283" s="8" t="s">
        <v>5031</v>
      </c>
      <c r="D1283" s="9" t="s">
        <v>5032</v>
      </c>
      <c r="E1283" s="10" t="str">
        <f>HYPERLINK("https://twitter.com/VanAndNum/status/1065738669187899399","1065738669187899399")</f>
        <v>1065738669187899399</v>
      </c>
      <c r="F1283" s="12"/>
      <c r="G1283" s="12"/>
      <c r="H1283" s="12"/>
      <c r="I1283" s="13">
        <v>0</v>
      </c>
      <c r="J1283" s="13">
        <v>0</v>
      </c>
      <c r="K1283" s="14" t="str">
        <f>HYPERLINK("http://twitter.com","Twitter Web Client")</f>
        <v>Twitter Web Client</v>
      </c>
      <c r="L1283" s="13">
        <v>446</v>
      </c>
      <c r="M1283" s="13">
        <v>806</v>
      </c>
      <c r="N1283" s="13">
        <v>1</v>
      </c>
      <c r="O1283" s="15"/>
      <c r="P1283" s="6">
        <v>43239.592106481483</v>
      </c>
      <c r="Q1283" s="17" t="s">
        <v>5033</v>
      </c>
      <c r="R1283" s="18" t="s">
        <v>5034</v>
      </c>
      <c r="S1283" s="12"/>
      <c r="T1283" s="12"/>
      <c r="U1283" s="10" t="str">
        <f>HYPERLINK("https://pbs.twimg.com/profile_images/1063176893242007553/M4rPlG60.jpg","View")</f>
        <v>View</v>
      </c>
    </row>
    <row r="1284" spans="1:21" ht="51">
      <c r="A1284" s="6">
        <v>43426.991145833337</v>
      </c>
      <c r="B1284" s="7" t="str">
        <f>HYPERLINK("https://twitter.com/darthcerbero","@darthcerbero")</f>
        <v>@darthcerbero</v>
      </c>
      <c r="C1284" s="8" t="s">
        <v>5035</v>
      </c>
      <c r="D1284" s="9" t="s">
        <v>5036</v>
      </c>
      <c r="E1284" s="10" t="str">
        <f>HYPERLINK("https://twitter.com/darthcerbero/status/1065738507195432961","1065738507195432961")</f>
        <v>1065738507195432961</v>
      </c>
      <c r="F1284" s="12"/>
      <c r="G1284" s="12"/>
      <c r="H1284" s="12"/>
      <c r="I1284" s="13">
        <v>1</v>
      </c>
      <c r="J1284" s="13">
        <v>1</v>
      </c>
      <c r="K1284" s="14" t="str">
        <f>HYPERLINK("http://twitter.com/download/android","Twitter for Android")</f>
        <v>Twitter for Android</v>
      </c>
      <c r="L1284" s="13">
        <v>778</v>
      </c>
      <c r="M1284" s="13">
        <v>534</v>
      </c>
      <c r="N1284" s="13">
        <v>76</v>
      </c>
      <c r="O1284" s="15"/>
      <c r="P1284" s="6">
        <v>41693.817106481481</v>
      </c>
      <c r="Q1284" s="17" t="s">
        <v>5037</v>
      </c>
      <c r="R1284" s="18" t="s">
        <v>5038</v>
      </c>
      <c r="S1284" s="12"/>
      <c r="T1284" s="12"/>
      <c r="U1284" s="10" t="str">
        <f>HYPERLINK("https://pbs.twimg.com/profile_images/455439280924409856/OiOWDSJy.jpeg","View")</f>
        <v>View</v>
      </c>
    </row>
    <row r="1285" spans="1:21" ht="20.399999999999999">
      <c r="A1285" s="6">
        <v>43426.990381944444</v>
      </c>
      <c r="B1285" s="7" t="str">
        <f>HYPERLINK("https://twitter.com/ElDiestro_","@ElDiestro_")</f>
        <v>@ElDiestro_</v>
      </c>
      <c r="C1285" s="8" t="s">
        <v>5039</v>
      </c>
      <c r="D1285" s="9" t="s">
        <v>5040</v>
      </c>
      <c r="E1285" s="10" t="str">
        <f>HYPERLINK("https://twitter.com/ElDiestro_/status/1065738231206027264","1065738231206027264")</f>
        <v>1065738231206027264</v>
      </c>
      <c r="F1285" s="11" t="s">
        <v>5041</v>
      </c>
      <c r="G1285" s="12"/>
      <c r="H1285" s="12"/>
      <c r="I1285" s="13">
        <v>6</v>
      </c>
      <c r="J1285" s="13">
        <v>4</v>
      </c>
      <c r="K1285" s="14" t="str">
        <f>HYPERLINK("http://twitter.com/download/iphone","Twitter for iPhone")</f>
        <v>Twitter for iPhone</v>
      </c>
      <c r="L1285" s="13">
        <v>7597</v>
      </c>
      <c r="M1285" s="13">
        <v>5285</v>
      </c>
      <c r="N1285" s="13">
        <v>55</v>
      </c>
      <c r="O1285" s="15"/>
      <c r="P1285" s="6">
        <v>42401.77506944444</v>
      </c>
      <c r="Q1285" s="17" t="s">
        <v>28</v>
      </c>
      <c r="R1285" s="18" t="s">
        <v>5042</v>
      </c>
      <c r="S1285" s="11" t="s">
        <v>5043</v>
      </c>
      <c r="T1285" s="12"/>
      <c r="U1285" s="10" t="str">
        <f>HYPERLINK("https://pbs.twimg.com/profile_images/938514288549023744/w6f25Sox.jpg","View")</f>
        <v>View</v>
      </c>
    </row>
    <row r="1286" spans="1:21" ht="13.2">
      <c r="A1286" s="6">
        <v>43426.990173611106</v>
      </c>
      <c r="B1286" s="7" t="str">
        <f>HYPERLINK("https://twitter.com/defenemvalencia","@defenemvalencia")</f>
        <v>@defenemvalencia</v>
      </c>
      <c r="C1286" s="8" t="s">
        <v>5044</v>
      </c>
      <c r="D1286" s="9" t="s">
        <v>5045</v>
      </c>
      <c r="E1286" s="10" t="str">
        <f>HYPERLINK("https://twitter.com/defenemvalencia/status/1065738156773961728","1065738156773961728")</f>
        <v>1065738156773961728</v>
      </c>
      <c r="F1286" s="11" t="s">
        <v>5046</v>
      </c>
      <c r="G1286" s="12"/>
      <c r="H1286" s="12"/>
      <c r="I1286" s="13">
        <v>0</v>
      </c>
      <c r="J1286" s="13">
        <v>0</v>
      </c>
      <c r="K1286" s="14" t="str">
        <f>HYPERLINK("http://www.facebook.com/twitter","Facebook")</f>
        <v>Facebook</v>
      </c>
      <c r="L1286" s="13">
        <v>431</v>
      </c>
      <c r="M1286" s="13">
        <v>355</v>
      </c>
      <c r="N1286" s="13">
        <v>4</v>
      </c>
      <c r="O1286" s="15"/>
      <c r="P1286" s="6">
        <v>41943.394594907411</v>
      </c>
      <c r="Q1286" s="17" t="s">
        <v>810</v>
      </c>
      <c r="R1286" s="19"/>
      <c r="S1286" s="11" t="s">
        <v>5047</v>
      </c>
      <c r="T1286" s="12"/>
      <c r="U1286" s="10" t="str">
        <f>HYPERLINK("https://pbs.twimg.com/profile_images/911295114097684480/GWg45viE.jpg","View")</f>
        <v>View</v>
      </c>
    </row>
    <row r="1287" spans="1:21" ht="20.399999999999999">
      <c r="A1287" s="6">
        <v>43426.989942129629</v>
      </c>
      <c r="B1287" s="7" t="str">
        <f>HYPERLINK("https://twitter.com/ramondeveciana","@ramondeveciana")</f>
        <v>@ramondeveciana</v>
      </c>
      <c r="C1287" s="8" t="s">
        <v>5048</v>
      </c>
      <c r="D1287" s="9" t="s">
        <v>5049</v>
      </c>
      <c r="E1287" s="10" t="str">
        <f>HYPERLINK("https://twitter.com/ramondeveciana/status/1065738073609252864","1065738073609252864")</f>
        <v>1065738073609252864</v>
      </c>
      <c r="F1287" s="11" t="s">
        <v>5050</v>
      </c>
      <c r="G1287" s="12"/>
      <c r="H1287" s="12"/>
      <c r="I1287" s="13">
        <v>2</v>
      </c>
      <c r="J1287" s="13">
        <v>4</v>
      </c>
      <c r="K1287" s="14" t="str">
        <f t="shared" ref="K1287:K1288" si="207">HYPERLINK("http://twitter.com","Twitter Web Client")</f>
        <v>Twitter Web Client</v>
      </c>
      <c r="L1287" s="13">
        <v>7212</v>
      </c>
      <c r="M1287" s="13">
        <v>6337</v>
      </c>
      <c r="N1287" s="13">
        <v>177</v>
      </c>
      <c r="O1287" s="15"/>
      <c r="P1287" s="6">
        <v>40398.429722222223</v>
      </c>
      <c r="Q1287" s="17" t="s">
        <v>191</v>
      </c>
      <c r="R1287" s="18" t="s">
        <v>5051</v>
      </c>
      <c r="S1287" s="12"/>
      <c r="T1287" s="12"/>
      <c r="U1287" s="10" t="str">
        <f>HYPERLINK("https://pbs.twimg.com/profile_images/989589036477108226/zOdm_ezv.jpg","View")</f>
        <v>View</v>
      </c>
    </row>
    <row r="1288" spans="1:21" ht="20.399999999999999">
      <c r="A1288" s="6">
        <v>43426.989687499998</v>
      </c>
      <c r="B1288" s="7" t="str">
        <f>HYPERLINK("https://twitter.com/ManuelBudio","@ManuelBudio")</f>
        <v>@ManuelBudio</v>
      </c>
      <c r="C1288" s="8" t="s">
        <v>1881</v>
      </c>
      <c r="D1288" s="9" t="s">
        <v>232</v>
      </c>
      <c r="E1288" s="10" t="str">
        <f>HYPERLINK("https://twitter.com/ManuelBudio/status/1065737981053542400","1065737981053542400")</f>
        <v>1065737981053542400</v>
      </c>
      <c r="F1288" s="11" t="s">
        <v>233</v>
      </c>
      <c r="G1288" s="12"/>
      <c r="H1288" s="12"/>
      <c r="I1288" s="13">
        <v>0</v>
      </c>
      <c r="J1288" s="13">
        <v>0</v>
      </c>
      <c r="K1288" s="14" t="str">
        <f t="shared" si="207"/>
        <v>Twitter Web Client</v>
      </c>
      <c r="L1288" s="13">
        <v>3322</v>
      </c>
      <c r="M1288" s="13">
        <v>3375</v>
      </c>
      <c r="N1288" s="13">
        <v>52</v>
      </c>
      <c r="O1288" s="15"/>
      <c r="P1288" s="6">
        <v>41758.639456018514</v>
      </c>
      <c r="Q1288" s="12"/>
      <c r="R1288" s="19"/>
      <c r="S1288" s="12"/>
      <c r="T1288" s="12"/>
      <c r="U1288" s="10" t="str">
        <f>HYPERLINK("https://pbs.twimg.com/profile_images/461133824366104576/laIkQZCn.jpeg","View")</f>
        <v>View</v>
      </c>
    </row>
    <row r="1289" spans="1:21" ht="20.399999999999999">
      <c r="A1289" s="6">
        <v>43426.989317129628</v>
      </c>
      <c r="B1289" s="7" t="str">
        <f>HYPERLINK("https://twitter.com/martikaferrero","@martikaferrero")</f>
        <v>@martikaferrero</v>
      </c>
      <c r="C1289" s="8" t="s">
        <v>5052</v>
      </c>
      <c r="D1289" s="9" t="s">
        <v>4589</v>
      </c>
      <c r="E1289" s="10" t="str">
        <f>HYPERLINK("https://twitter.com/martikaferrero/status/1065737846638632960","1065737846638632960")</f>
        <v>1065737846638632960</v>
      </c>
      <c r="F1289" s="11" t="s">
        <v>4590</v>
      </c>
      <c r="G1289" s="11" t="s">
        <v>5053</v>
      </c>
      <c r="H1289" s="12"/>
      <c r="I1289" s="13">
        <v>0</v>
      </c>
      <c r="J1289" s="13">
        <v>0</v>
      </c>
      <c r="K1289" s="14" t="str">
        <f>HYPERLINK("http://www.rt.com","RT News Sharing")</f>
        <v>RT News Sharing</v>
      </c>
      <c r="L1289" s="13">
        <v>54</v>
      </c>
      <c r="M1289" s="13">
        <v>372</v>
      </c>
      <c r="N1289" s="13">
        <v>0</v>
      </c>
      <c r="O1289" s="15"/>
      <c r="P1289" s="6">
        <v>40618.48096064815</v>
      </c>
      <c r="Q1289" s="12"/>
      <c r="R1289" s="19"/>
      <c r="S1289" s="12"/>
      <c r="T1289" s="12"/>
      <c r="U1289" s="10" t="str">
        <f>HYPERLINK("https://pbs.twimg.com/profile_images/856927186514722817/y_m3a9wp.jpg","View")</f>
        <v>View</v>
      </c>
    </row>
    <row r="1290" spans="1:21" ht="30.6">
      <c r="A1290" s="6">
        <v>43426.989305555559</v>
      </c>
      <c r="B1290" s="7" t="str">
        <f>HYPERLINK("https://twitter.com/ConsCubaCanaria","@ConsCubaCanaria")</f>
        <v>@ConsCubaCanaria</v>
      </c>
      <c r="C1290" s="8" t="s">
        <v>5054</v>
      </c>
      <c r="D1290" s="9" t="s">
        <v>5055</v>
      </c>
      <c r="E1290" s="10" t="str">
        <f>HYPERLINK("https://twitter.com/ConsCubaCanaria/status/1065737839357435904","1065737839357435904")</f>
        <v>1065737839357435904</v>
      </c>
      <c r="F1290" s="11" t="s">
        <v>4378</v>
      </c>
      <c r="G1290" s="12"/>
      <c r="H1290" s="12"/>
      <c r="I1290" s="13">
        <v>0</v>
      </c>
      <c r="J1290" s="13">
        <v>0</v>
      </c>
      <c r="K1290" s="14" t="str">
        <f>HYPERLINK("http://twitter.com","Twitter Web Client")</f>
        <v>Twitter Web Client</v>
      </c>
      <c r="L1290" s="13">
        <v>1713</v>
      </c>
      <c r="M1290" s="13">
        <v>788</v>
      </c>
      <c r="N1290" s="13">
        <v>55</v>
      </c>
      <c r="O1290" s="15"/>
      <c r="P1290" s="6">
        <v>41942.606145833335</v>
      </c>
      <c r="Q1290" s="17" t="s">
        <v>5056</v>
      </c>
      <c r="R1290" s="18" t="s">
        <v>5057</v>
      </c>
      <c r="S1290" s="11" t="s">
        <v>5058</v>
      </c>
      <c r="T1290" s="12"/>
      <c r="U1290" s="10" t="str">
        <f>HYPERLINK("https://pbs.twimg.com/profile_images/806625745900621832/g6caBR6v.jpg","View")</f>
        <v>View</v>
      </c>
    </row>
    <row r="1291" spans="1:21" ht="20.399999999999999">
      <c r="A1291" s="6">
        <v>43426.988854166666</v>
      </c>
      <c r="B1291" s="7" t="str">
        <f>HYPERLINK("https://twitter.com/lavanha5","@lavanha5")</f>
        <v>@lavanha5</v>
      </c>
      <c r="C1291" s="8" t="s">
        <v>691</v>
      </c>
      <c r="D1291" s="9" t="s">
        <v>5059</v>
      </c>
      <c r="E1291" s="10" t="str">
        <f>HYPERLINK("https://twitter.com/lavanha5/status/1065737675754389504","1065737675754389504")</f>
        <v>1065737675754389504</v>
      </c>
      <c r="F1291" s="12"/>
      <c r="G1291" s="12"/>
      <c r="H1291" s="12"/>
      <c r="I1291" s="13">
        <v>1</v>
      </c>
      <c r="J1291" s="13">
        <v>0</v>
      </c>
      <c r="K1291" s="14" t="str">
        <f>HYPERLINK("http://twitter.com/#!/download/ipad","Twitter for iPad")</f>
        <v>Twitter for iPad</v>
      </c>
      <c r="L1291" s="13">
        <v>160</v>
      </c>
      <c r="M1291" s="13">
        <v>557</v>
      </c>
      <c r="N1291" s="13">
        <v>17</v>
      </c>
      <c r="O1291" s="15"/>
      <c r="P1291" s="6">
        <v>42459.010150462964</v>
      </c>
      <c r="Q1291" s="12"/>
      <c r="R1291" s="19"/>
      <c r="S1291" s="12"/>
      <c r="T1291" s="12"/>
      <c r="U1291" s="10" t="str">
        <f>HYPERLINK("https://pbs.twimg.com/profile_images/739549170873303040/gBg2SJ_1.jpg","View")</f>
        <v>View</v>
      </c>
    </row>
    <row r="1292" spans="1:21" ht="20.399999999999999">
      <c r="A1292" s="6">
        <v>43426.987962962958</v>
      </c>
      <c r="B1292" s="7" t="str">
        <f>HYPERLINK("https://twitter.com/hhcarles","@hhcarles")</f>
        <v>@hhcarles</v>
      </c>
      <c r="C1292" s="8" t="s">
        <v>5060</v>
      </c>
      <c r="D1292" s="9" t="s">
        <v>5061</v>
      </c>
      <c r="E1292" s="10" t="str">
        <f>HYPERLINK("https://twitter.com/hhcarles/status/1065737354525188096","1065737354525188096")</f>
        <v>1065737354525188096</v>
      </c>
      <c r="F1292" s="11" t="s">
        <v>5062</v>
      </c>
      <c r="G1292" s="12"/>
      <c r="H1292" s="12"/>
      <c r="I1292" s="13">
        <v>0</v>
      </c>
      <c r="J1292" s="13">
        <v>0</v>
      </c>
      <c r="K1292" s="14" t="str">
        <f>HYPERLINK("http://twitter.com","Twitter Web Client")</f>
        <v>Twitter Web Client</v>
      </c>
      <c r="L1292" s="13">
        <v>328</v>
      </c>
      <c r="M1292" s="13">
        <v>343</v>
      </c>
      <c r="N1292" s="13">
        <v>3</v>
      </c>
      <c r="O1292" s="15"/>
      <c r="P1292" s="6">
        <v>41379.17350694444</v>
      </c>
      <c r="Q1292" s="17" t="s">
        <v>5063</v>
      </c>
      <c r="R1292" s="19"/>
      <c r="S1292" s="11" t="s">
        <v>5064</v>
      </c>
      <c r="T1292" s="12"/>
      <c r="U1292" s="10" t="str">
        <f>HYPERLINK("https://pbs.twimg.com/profile_images/3523463341/fc90338d0bd6296dcc5216efa7cf559b.jpeg","View")</f>
        <v>View</v>
      </c>
    </row>
    <row r="1293" spans="1:21" ht="20.399999999999999">
      <c r="A1293" s="6">
        <v>43426.987951388888</v>
      </c>
      <c r="B1293" s="7" t="str">
        <f>HYPERLINK("https://twitter.com/lavanha5","@lavanha5")</f>
        <v>@lavanha5</v>
      </c>
      <c r="C1293" s="8" t="s">
        <v>691</v>
      </c>
      <c r="D1293" s="9" t="s">
        <v>2981</v>
      </c>
      <c r="E1293" s="10" t="str">
        <f>HYPERLINK("https://twitter.com/lavanha5/status/1065737349123006464","1065737349123006464")</f>
        <v>1065737349123006464</v>
      </c>
      <c r="F1293" s="11" t="s">
        <v>5065</v>
      </c>
      <c r="G1293" s="12"/>
      <c r="H1293" s="12"/>
      <c r="I1293" s="13">
        <v>1</v>
      </c>
      <c r="J1293" s="13">
        <v>1</v>
      </c>
      <c r="K1293" s="14" t="str">
        <f>HYPERLINK("http://twitter.com/#!/download/ipad","Twitter for iPad")</f>
        <v>Twitter for iPad</v>
      </c>
      <c r="L1293" s="13">
        <v>160</v>
      </c>
      <c r="M1293" s="13">
        <v>557</v>
      </c>
      <c r="N1293" s="13">
        <v>17</v>
      </c>
      <c r="O1293" s="15"/>
      <c r="P1293" s="6">
        <v>42459.010150462964</v>
      </c>
      <c r="Q1293" s="12"/>
      <c r="R1293" s="19"/>
      <c r="S1293" s="12"/>
      <c r="T1293" s="12"/>
      <c r="U1293" s="10" t="str">
        <f>HYPERLINK("https://pbs.twimg.com/profile_images/739549170873303040/gBg2SJ_1.jpg","View")</f>
        <v>View</v>
      </c>
    </row>
    <row r="1294" spans="1:21" ht="20.399999999999999">
      <c r="A1294" s="6">
        <v>43426.987824074073</v>
      </c>
      <c r="B1294" s="7" t="str">
        <f>HYPERLINK("https://twitter.com/brigadier777","@brigadier777")</f>
        <v>@brigadier777</v>
      </c>
      <c r="C1294" s="8" t="s">
        <v>5066</v>
      </c>
      <c r="D1294" s="9" t="s">
        <v>5067</v>
      </c>
      <c r="E1294" s="10" t="str">
        <f>HYPERLINK("https://twitter.com/brigadier777/status/1065737304554291201","1065737304554291201")</f>
        <v>1065737304554291201</v>
      </c>
      <c r="F1294" s="12"/>
      <c r="G1294" s="12"/>
      <c r="H1294" s="12"/>
      <c r="I1294" s="13">
        <v>2</v>
      </c>
      <c r="J1294" s="13">
        <v>4</v>
      </c>
      <c r="K1294" s="14" t="str">
        <f t="shared" ref="K1294:K1295" si="208">HYPERLINK("http://twitter.com/download/android","Twitter for Android")</f>
        <v>Twitter for Android</v>
      </c>
      <c r="L1294" s="13">
        <v>357</v>
      </c>
      <c r="M1294" s="13">
        <v>594</v>
      </c>
      <c r="N1294" s="13">
        <v>4</v>
      </c>
      <c r="O1294" s="15"/>
      <c r="P1294" s="6">
        <v>41059.841469907406</v>
      </c>
      <c r="Q1294" s="17" t="s">
        <v>5068</v>
      </c>
      <c r="R1294" s="18" t="s">
        <v>5069</v>
      </c>
      <c r="S1294" s="12"/>
      <c r="T1294" s="12"/>
      <c r="U1294" s="10" t="str">
        <f>HYPERLINK("https://pbs.twimg.com/profile_images/1002855769577021440/F2IAEAax.jpg","View")</f>
        <v>View</v>
      </c>
    </row>
    <row r="1295" spans="1:21" ht="13.2">
      <c r="A1295" s="6">
        <v>43426.987245370372</v>
      </c>
      <c r="B1295" s="7" t="str">
        <f>HYPERLINK("https://twitter.com/Frioacero","@Frioacero")</f>
        <v>@Frioacero</v>
      </c>
      <c r="C1295" s="8" t="s">
        <v>5070</v>
      </c>
      <c r="D1295" s="9" t="s">
        <v>5071</v>
      </c>
      <c r="E1295" s="10" t="str">
        <f>HYPERLINK("https://twitter.com/Frioacero/status/1065737094759362566","1065737094759362566")</f>
        <v>1065737094759362566</v>
      </c>
      <c r="F1295" s="12"/>
      <c r="G1295" s="12"/>
      <c r="H1295" s="12"/>
      <c r="I1295" s="13">
        <v>0</v>
      </c>
      <c r="J1295" s="13">
        <v>0</v>
      </c>
      <c r="K1295" s="14" t="str">
        <f t="shared" si="208"/>
        <v>Twitter for Android</v>
      </c>
      <c r="L1295" s="13">
        <v>1502</v>
      </c>
      <c r="M1295" s="13">
        <v>620</v>
      </c>
      <c r="N1295" s="13">
        <v>308</v>
      </c>
      <c r="O1295" s="15"/>
      <c r="P1295" s="6">
        <v>41552.657800925925</v>
      </c>
      <c r="Q1295" s="12"/>
      <c r="R1295" s="19"/>
      <c r="S1295" s="12"/>
      <c r="T1295" s="12"/>
      <c r="U1295" s="10" t="str">
        <f>HYPERLINK("https://pbs.twimg.com/profile_images/378800000552507333/977c590f7a608d77328657147fc6d5b4.jpeg","View")</f>
        <v>View</v>
      </c>
    </row>
    <row r="1296" spans="1:21" ht="20.399999999999999">
      <c r="A1296" s="6">
        <v>43426.987175925926</v>
      </c>
      <c r="B1296" s="7" t="str">
        <f>HYPERLINK("https://twitter.com/yeid67","@yeid67")</f>
        <v>@yeid67</v>
      </c>
      <c r="C1296" s="8" t="s">
        <v>5072</v>
      </c>
      <c r="D1296" s="9" t="s">
        <v>5073</v>
      </c>
      <c r="E1296" s="10" t="str">
        <f>HYPERLINK("https://twitter.com/yeid67/status/1065737071703269377","1065737071703269377")</f>
        <v>1065737071703269377</v>
      </c>
      <c r="F1296" s="11" t="s">
        <v>607</v>
      </c>
      <c r="G1296" s="12"/>
      <c r="H1296" s="12"/>
      <c r="I1296" s="13">
        <v>0</v>
      </c>
      <c r="J1296" s="13">
        <v>0</v>
      </c>
      <c r="K1296" s="14" t="str">
        <f>HYPERLINK("http://twitter.com","Twitter Web Client")</f>
        <v>Twitter Web Client</v>
      </c>
      <c r="L1296" s="13">
        <v>532</v>
      </c>
      <c r="M1296" s="13">
        <v>153</v>
      </c>
      <c r="N1296" s="13">
        <v>9</v>
      </c>
      <c r="O1296" s="15"/>
      <c r="P1296" s="6">
        <v>40815.036527777775</v>
      </c>
      <c r="Q1296" s="17" t="s">
        <v>5074</v>
      </c>
      <c r="R1296" s="18" t="s">
        <v>5075</v>
      </c>
      <c r="S1296" s="12"/>
      <c r="T1296" s="12"/>
      <c r="U1296" s="10" t="str">
        <f>HYPERLINK("https://pbs.twimg.com/profile_images/837448260952469505/ryHVEBG2.jpg","View")</f>
        <v>View</v>
      </c>
    </row>
    <row r="1297" spans="1:21" ht="20.399999999999999">
      <c r="A1297" s="6">
        <v>43426.986817129626</v>
      </c>
      <c r="B1297" s="7" t="str">
        <f>HYPERLINK("https://twitter.com/Moncloa","@Moncloa")</f>
        <v>@Moncloa</v>
      </c>
      <c r="C1297" s="8" t="s">
        <v>1487</v>
      </c>
      <c r="D1297" s="9" t="s">
        <v>5076</v>
      </c>
      <c r="E1297" s="10" t="str">
        <f>HYPERLINK("https://twitter.com/Moncloa/status/1065736940106866688","1065736940106866688")</f>
        <v>1065736940106866688</v>
      </c>
      <c r="F1297" s="11" t="s">
        <v>5077</v>
      </c>
      <c r="G1297" s="12"/>
      <c r="H1297" s="12"/>
      <c r="I1297" s="13">
        <v>0</v>
      </c>
      <c r="J1297" s="13">
        <v>0</v>
      </c>
      <c r="K1297" s="14" t="str">
        <f>HYPERLINK("http://www.gkopu.com/books","MicroContent")</f>
        <v>MicroContent</v>
      </c>
      <c r="L1297" s="13">
        <v>9324</v>
      </c>
      <c r="M1297" s="13">
        <v>1</v>
      </c>
      <c r="N1297" s="13">
        <v>42</v>
      </c>
      <c r="O1297" s="15"/>
      <c r="P1297" s="6">
        <v>40723.496319444443</v>
      </c>
      <c r="Q1297" s="17" t="s">
        <v>28</v>
      </c>
      <c r="R1297" s="18" t="s">
        <v>1490</v>
      </c>
      <c r="S1297" s="12"/>
      <c r="T1297" s="12"/>
      <c r="U1297" s="10" t="str">
        <f>HYPERLINK("https://pbs.twimg.com/profile_images/2272310074/v0xjmozqhpv90d675qs9.jpeg","View")</f>
        <v>View</v>
      </c>
    </row>
    <row r="1298" spans="1:21" ht="30.6">
      <c r="A1298" s="6">
        <v>43426.986018518517</v>
      </c>
      <c r="B1298" s="7" t="str">
        <f>HYPERLINK("https://twitter.com/okdiario","@okdiario")</f>
        <v>@okdiario</v>
      </c>
      <c r="C1298" s="8" t="s">
        <v>4980</v>
      </c>
      <c r="D1298" s="9" t="s">
        <v>4752</v>
      </c>
      <c r="E1298" s="10" t="str">
        <f>HYPERLINK("https://twitter.com/okdiario/status/1065736650704252928","1065736650704252928")</f>
        <v>1065736650704252928</v>
      </c>
      <c r="F1298" s="11" t="s">
        <v>5078</v>
      </c>
      <c r="G1298" s="12"/>
      <c r="H1298" s="12"/>
      <c r="I1298" s="13">
        <v>29</v>
      </c>
      <c r="J1298" s="13">
        <v>23</v>
      </c>
      <c r="K1298" s="14" t="str">
        <f>HYPERLINK("https://www.echobox.com","Echobox Social")</f>
        <v>Echobox Social</v>
      </c>
      <c r="L1298" s="13">
        <v>109324</v>
      </c>
      <c r="M1298" s="13">
        <v>337</v>
      </c>
      <c r="N1298" s="13">
        <v>1423</v>
      </c>
      <c r="O1298" s="16" t="s">
        <v>26</v>
      </c>
      <c r="P1298" s="6">
        <v>42241.708229166667</v>
      </c>
      <c r="Q1298" s="12"/>
      <c r="R1298" s="18" t="s">
        <v>4983</v>
      </c>
      <c r="S1298" s="11" t="s">
        <v>4984</v>
      </c>
      <c r="T1298" s="12"/>
      <c r="U1298" s="10" t="str">
        <f>HYPERLINK("https://pbs.twimg.com/profile_images/789113773697208320/3LvFvi8Q.jpg","View")</f>
        <v>View</v>
      </c>
    </row>
    <row r="1299" spans="1:21" ht="40.799999999999997">
      <c r="A1299" s="6">
        <v>43426.98600694444</v>
      </c>
      <c r="B1299" s="7" t="str">
        <f>HYPERLINK("https://twitter.com/Lanoche_24h","@Lanoche_24h")</f>
        <v>@Lanoche_24h</v>
      </c>
      <c r="C1299" s="8" t="s">
        <v>5079</v>
      </c>
      <c r="D1299" s="9" t="s">
        <v>5080</v>
      </c>
      <c r="E1299" s="10" t="str">
        <f>HYPERLINK("https://twitter.com/Lanoche_24h/status/1065736647411548160","1065736647411548160")</f>
        <v>1065736647411548160</v>
      </c>
      <c r="F1299" s="11" t="s">
        <v>3005</v>
      </c>
      <c r="G1299" s="11" t="s">
        <v>5081</v>
      </c>
      <c r="H1299" s="12"/>
      <c r="I1299" s="13">
        <v>9</v>
      </c>
      <c r="J1299" s="13">
        <v>8</v>
      </c>
      <c r="K1299" s="14" t="str">
        <f>HYPERLINK("http://snappytv.com","SnappyTV.com")</f>
        <v>SnappyTV.com</v>
      </c>
      <c r="L1299" s="13">
        <v>168735</v>
      </c>
      <c r="M1299" s="13">
        <v>142</v>
      </c>
      <c r="N1299" s="13">
        <v>812</v>
      </c>
      <c r="O1299" s="16" t="s">
        <v>26</v>
      </c>
      <c r="P1299" s="6">
        <v>40808.700196759259</v>
      </c>
      <c r="Q1299" s="17" t="s">
        <v>72</v>
      </c>
      <c r="R1299" s="18" t="s">
        <v>5082</v>
      </c>
      <c r="S1299" s="11" t="s">
        <v>5083</v>
      </c>
      <c r="T1299" s="12"/>
      <c r="U1299" s="10" t="str">
        <f>HYPERLINK("https://pbs.twimg.com/profile_images/1040624203576369152/8O0SzAAJ.jpg","View")</f>
        <v>View</v>
      </c>
    </row>
    <row r="1300" spans="1:21" ht="20.399999999999999">
      <c r="A1300" s="6">
        <v>43426.985578703709</v>
      </c>
      <c r="B1300" s="7" t="str">
        <f>HYPERLINK("https://twitter.com/NoticieroUniv","@NoticieroUniv")</f>
        <v>@NoticieroUniv</v>
      </c>
      <c r="C1300" s="8" t="s">
        <v>965</v>
      </c>
      <c r="D1300" s="9" t="s">
        <v>5084</v>
      </c>
      <c r="E1300" s="10" t="str">
        <f>HYPERLINK("https://twitter.com/NoticieroUniv/status/1065736489861111809","1065736489861111809")</f>
        <v>1065736489861111809</v>
      </c>
      <c r="F1300" s="11" t="s">
        <v>5085</v>
      </c>
      <c r="G1300" s="12"/>
      <c r="H1300" s="12"/>
      <c r="I1300" s="13">
        <v>1</v>
      </c>
      <c r="J1300" s="13">
        <v>0</v>
      </c>
      <c r="K1300" s="14" t="str">
        <f>HYPERLINK("https://noticierouniversal.com/","NoticieroUniversal")</f>
        <v>NoticieroUniversal</v>
      </c>
      <c r="L1300" s="13">
        <v>1080</v>
      </c>
      <c r="M1300" s="13">
        <v>36</v>
      </c>
      <c r="N1300" s="13">
        <v>21</v>
      </c>
      <c r="O1300" s="15"/>
      <c r="P1300" s="6">
        <v>42402.547939814816</v>
      </c>
      <c r="Q1300" s="17" t="s">
        <v>277</v>
      </c>
      <c r="R1300" s="18" t="s">
        <v>968</v>
      </c>
      <c r="S1300" s="11" t="s">
        <v>969</v>
      </c>
      <c r="T1300" s="12"/>
      <c r="U1300" s="10" t="str">
        <f>HYPERLINK("https://pbs.twimg.com/profile_images/719648419925594113/OnR0XNMn.jpg","View")</f>
        <v>View</v>
      </c>
    </row>
    <row r="1301" spans="1:21" ht="51">
      <c r="A1301" s="6">
        <v>43426.985416666663</v>
      </c>
      <c r="B1301" s="7" t="str">
        <f>HYPERLINK("https://twitter.com/alconperegrino2","@alconperegrino2")</f>
        <v>@alconperegrino2</v>
      </c>
      <c r="C1301" s="8" t="s">
        <v>5086</v>
      </c>
      <c r="D1301" s="9" t="s">
        <v>5087</v>
      </c>
      <c r="E1301" s="10" t="str">
        <f>HYPERLINK("https://twitter.com/alconperegrino2/status/1065736431853846529","1065736431853846529")</f>
        <v>1065736431853846529</v>
      </c>
      <c r="F1301" s="12"/>
      <c r="G1301" s="12"/>
      <c r="H1301" s="12"/>
      <c r="I1301" s="13">
        <v>0</v>
      </c>
      <c r="J1301" s="13">
        <v>0</v>
      </c>
      <c r="K1301" s="14" t="str">
        <f t="shared" ref="K1301:K1302" si="209">HYPERLINK("http://twitter.com","Twitter Web Client")</f>
        <v>Twitter Web Client</v>
      </c>
      <c r="L1301" s="13">
        <v>69</v>
      </c>
      <c r="M1301" s="13">
        <v>78</v>
      </c>
      <c r="N1301" s="13">
        <v>9</v>
      </c>
      <c r="O1301" s="15"/>
      <c r="P1301" s="6">
        <v>40509.832361111112</v>
      </c>
      <c r="Q1301" s="12"/>
      <c r="R1301" s="19"/>
      <c r="S1301" s="12"/>
      <c r="T1301" s="12"/>
      <c r="U1301" s="10" t="str">
        <f>HYPERLINK("https://pbs.twimg.com/profile_images/506876257624023040/buwMeWPi.jpeg","View")</f>
        <v>View</v>
      </c>
    </row>
    <row r="1302" spans="1:21" ht="51">
      <c r="A1302" s="6">
        <v>43426.98505787037</v>
      </c>
      <c r="B1302" s="7" t="str">
        <f>HYPERLINK("https://twitter.com/jordiblasi","@jordiblasi")</f>
        <v>@jordiblasi</v>
      </c>
      <c r="C1302" s="8" t="s">
        <v>5088</v>
      </c>
      <c r="D1302" s="9" t="s">
        <v>5089</v>
      </c>
      <c r="E1302" s="10" t="str">
        <f>HYPERLINK("https://twitter.com/jordiblasi/status/1065736300702121985","1065736300702121985")</f>
        <v>1065736300702121985</v>
      </c>
      <c r="F1302" s="11" t="s">
        <v>2984</v>
      </c>
      <c r="G1302" s="12"/>
      <c r="H1302" s="12"/>
      <c r="I1302" s="13">
        <v>0</v>
      </c>
      <c r="J1302" s="13">
        <v>2</v>
      </c>
      <c r="K1302" s="14" t="str">
        <f t="shared" si="209"/>
        <v>Twitter Web Client</v>
      </c>
      <c r="L1302" s="13">
        <v>1002</v>
      </c>
      <c r="M1302" s="13">
        <v>996</v>
      </c>
      <c r="N1302" s="13">
        <v>28</v>
      </c>
      <c r="O1302" s="15"/>
      <c r="P1302" s="6">
        <v>40134.699074074073</v>
      </c>
      <c r="Q1302" s="17" t="s">
        <v>1642</v>
      </c>
      <c r="R1302" s="19"/>
      <c r="S1302" s="11" t="s">
        <v>5090</v>
      </c>
      <c r="T1302" s="12"/>
      <c r="U1302" s="10" t="str">
        <f>HYPERLINK("https://pbs.twimg.com/profile_images/977867873254367232/yFNjHvO8.jpg","View")</f>
        <v>View</v>
      </c>
    </row>
    <row r="1303" spans="1:21" ht="30.6">
      <c r="A1303" s="6">
        <v>43426.984085648146</v>
      </c>
      <c r="B1303" s="7" t="str">
        <f>HYPERLINK("https://twitter.com/DLasAmericas","@DLasAmericas")</f>
        <v>@DLasAmericas</v>
      </c>
      <c r="C1303" s="8" t="s">
        <v>5091</v>
      </c>
      <c r="D1303" s="9" t="s">
        <v>5092</v>
      </c>
      <c r="E1303" s="10" t="str">
        <f>HYPERLINK("https://twitter.com/DLasAmericas/status/1065735951044001792","1065735951044001792")</f>
        <v>1065735951044001792</v>
      </c>
      <c r="F1303" s="11" t="s">
        <v>1533</v>
      </c>
      <c r="G1303" s="12"/>
      <c r="H1303" s="12"/>
      <c r="I1303" s="13">
        <v>2</v>
      </c>
      <c r="J1303" s="13">
        <v>3</v>
      </c>
      <c r="K1303" s="14" t="str">
        <f>HYPERLINK("http://www.diariolasamericas.com","Diario Las Americas")</f>
        <v>Diario Las Americas</v>
      </c>
      <c r="L1303" s="13">
        <v>130807</v>
      </c>
      <c r="M1303" s="13">
        <v>12449</v>
      </c>
      <c r="N1303" s="13">
        <v>1355</v>
      </c>
      <c r="O1303" s="16" t="s">
        <v>26</v>
      </c>
      <c r="P1303" s="6">
        <v>41253.139224537037</v>
      </c>
      <c r="Q1303" s="17" t="s">
        <v>5093</v>
      </c>
      <c r="R1303" s="18" t="s">
        <v>5094</v>
      </c>
      <c r="S1303" s="11" t="s">
        <v>5095</v>
      </c>
      <c r="T1303" s="12"/>
      <c r="U1303" s="10" t="str">
        <f>HYPERLINK("https://pbs.twimg.com/profile_images/1018890652246036480/Wmox8tL4.jpg","View")</f>
        <v>View</v>
      </c>
    </row>
    <row r="1304" spans="1:21" ht="51">
      <c r="A1304" s="6">
        <v>43426.983344907407</v>
      </c>
      <c r="B1304" s="7" t="str">
        <f>HYPERLINK("https://twitter.com/Suave70511209","@Suave70511209")</f>
        <v>@Suave70511209</v>
      </c>
      <c r="C1304" s="8" t="s">
        <v>5096</v>
      </c>
      <c r="D1304" s="9" t="s">
        <v>5097</v>
      </c>
      <c r="E1304" s="10" t="str">
        <f>HYPERLINK("https://twitter.com/Suave70511209/status/1065735681413132288","1065735681413132288")</f>
        <v>1065735681413132288</v>
      </c>
      <c r="F1304" s="11" t="s">
        <v>5098</v>
      </c>
      <c r="G1304" s="12"/>
      <c r="H1304" s="12"/>
      <c r="I1304" s="13">
        <v>0</v>
      </c>
      <c r="J1304" s="13">
        <v>0</v>
      </c>
      <c r="K1304" s="14" t="str">
        <f>HYPERLINK("http://twitter.com/download/iphone","Twitter for iPhone")</f>
        <v>Twitter for iPhone</v>
      </c>
      <c r="L1304" s="13">
        <v>213</v>
      </c>
      <c r="M1304" s="13">
        <v>664</v>
      </c>
      <c r="N1304" s="13">
        <v>0</v>
      </c>
      <c r="O1304" s="15"/>
      <c r="P1304" s="6">
        <v>43273.738611111112</v>
      </c>
      <c r="Q1304" s="12"/>
      <c r="R1304" s="18" t="s">
        <v>5099</v>
      </c>
      <c r="S1304" s="12"/>
      <c r="T1304" s="12"/>
      <c r="U1304" s="10" t="str">
        <f>HYPERLINK("https://pbs.twimg.com/profile_images/1010222086424547328/YhPI8KQm.jpg","View")</f>
        <v>View</v>
      </c>
    </row>
    <row r="1305" spans="1:21" ht="30.6">
      <c r="A1305" s="6">
        <v>43426.983263888891</v>
      </c>
      <c r="B1305" s="7" t="str">
        <f>HYPERLINK("https://twitter.com/ENCARNITAFR","@ENCARNITAFR")</f>
        <v>@ENCARNITAFR</v>
      </c>
      <c r="C1305" s="8" t="s">
        <v>5100</v>
      </c>
      <c r="D1305" s="9" t="s">
        <v>5101</v>
      </c>
      <c r="E1305" s="10" t="str">
        <f>HYPERLINK("https://twitter.com/ENCARNITAFR/status/1065735654041141249","1065735654041141249")</f>
        <v>1065735654041141249</v>
      </c>
      <c r="F1305" s="11" t="s">
        <v>3636</v>
      </c>
      <c r="G1305" s="12"/>
      <c r="H1305" s="12"/>
      <c r="I1305" s="13">
        <v>0</v>
      </c>
      <c r="J1305" s="13">
        <v>0</v>
      </c>
      <c r="K1305" s="14" t="str">
        <f>HYPERLINK("http://twitter.com","Twitter Web Client")</f>
        <v>Twitter Web Client</v>
      </c>
      <c r="L1305" s="13">
        <v>736</v>
      </c>
      <c r="M1305" s="13">
        <v>882</v>
      </c>
      <c r="N1305" s="13">
        <v>8</v>
      </c>
      <c r="O1305" s="15"/>
      <c r="P1305" s="6">
        <v>41323.777638888889</v>
      </c>
      <c r="Q1305" s="17" t="s">
        <v>2009</v>
      </c>
      <c r="R1305" s="18" t="s">
        <v>5102</v>
      </c>
      <c r="S1305" s="12"/>
      <c r="T1305" s="12"/>
      <c r="U1305" s="10" t="str">
        <f>HYPERLINK("https://pbs.twimg.com/profile_images/3534713649/2fc3f1fdaacdc29fea3b11d6800f3d62.jpeg","View")</f>
        <v>View</v>
      </c>
    </row>
    <row r="1306" spans="1:21" ht="20.399999999999999">
      <c r="A1306" s="6">
        <v>43426.983171296291</v>
      </c>
      <c r="B1306" s="7" t="str">
        <f>HYPERLINK("https://twitter.com/luisabeledo","@luisabeledo")</f>
        <v>@luisabeledo</v>
      </c>
      <c r="C1306" s="8" t="s">
        <v>5103</v>
      </c>
      <c r="D1306" s="9" t="s">
        <v>1143</v>
      </c>
      <c r="E1306" s="10" t="str">
        <f>HYPERLINK("https://twitter.com/luisabeledo/status/1065735617609428992","1065735617609428992")</f>
        <v>1065735617609428992</v>
      </c>
      <c r="F1306" s="11" t="s">
        <v>5104</v>
      </c>
      <c r="G1306" s="12"/>
      <c r="H1306" s="12"/>
      <c r="I1306" s="13">
        <v>1</v>
      </c>
      <c r="J1306" s="13">
        <v>0</v>
      </c>
      <c r="K1306" s="14" t="str">
        <f>HYPERLINK("http://twitter.com/#!/download/ipad","Twitter for iPad")</f>
        <v>Twitter for iPad</v>
      </c>
      <c r="L1306" s="13">
        <v>5484</v>
      </c>
      <c r="M1306" s="13">
        <v>1302</v>
      </c>
      <c r="N1306" s="13">
        <v>162</v>
      </c>
      <c r="O1306" s="15"/>
      <c r="P1306" s="6">
        <v>40328.062893518516</v>
      </c>
      <c r="Q1306" s="17" t="s">
        <v>5105</v>
      </c>
      <c r="R1306" s="19"/>
      <c r="S1306" s="11" t="s">
        <v>5106</v>
      </c>
      <c r="T1306" s="12"/>
      <c r="U1306" s="10" t="str">
        <f>HYPERLINK("https://pbs.twimg.com/profile_images/1060324917181382656/VAJSU7eO.jpg","View")</f>
        <v>View</v>
      </c>
    </row>
    <row r="1307" spans="1:21" ht="30.6">
      <c r="A1307" s="6">
        <v>43426.982766203699</v>
      </c>
      <c r="B1307" s="7" t="str">
        <f>HYPERLINK("https://twitter.com/CubaGuinea","@CubaGuinea")</f>
        <v>@CubaGuinea</v>
      </c>
      <c r="C1307" s="8" t="s">
        <v>5107</v>
      </c>
      <c r="D1307" s="9" t="s">
        <v>5108</v>
      </c>
      <c r="E1307" s="10" t="str">
        <f>HYPERLINK("https://twitter.com/CubaGuinea/status/1065735471496597504","1065735471496597504")</f>
        <v>1065735471496597504</v>
      </c>
      <c r="F1307" s="12"/>
      <c r="G1307" s="11" t="s">
        <v>5109</v>
      </c>
      <c r="H1307" s="12"/>
      <c r="I1307" s="13">
        <v>0</v>
      </c>
      <c r="J1307" s="13">
        <v>0</v>
      </c>
      <c r="K1307" s="14" t="str">
        <f>HYPERLINK("http://twitter.com","Twitter Web Client")</f>
        <v>Twitter Web Client</v>
      </c>
      <c r="L1307" s="13">
        <v>151</v>
      </c>
      <c r="M1307" s="13">
        <v>133</v>
      </c>
      <c r="N1307" s="13">
        <v>3</v>
      </c>
      <c r="O1307" s="15"/>
      <c r="P1307" s="6">
        <v>43220.522418981476</v>
      </c>
      <c r="Q1307" s="12"/>
      <c r="R1307" s="19"/>
      <c r="S1307" s="12"/>
      <c r="T1307" s="12"/>
      <c r="U1307" s="10" t="str">
        <f>HYPERLINK("https://pbs.twimg.com/profile_images/1040690738407854080/9UHSfuyR.jpg","View")</f>
        <v>View</v>
      </c>
    </row>
    <row r="1308" spans="1:21" ht="40.799999999999997">
      <c r="A1308" s="6">
        <v>43426.98274305556</v>
      </c>
      <c r="B1308" s="7" t="str">
        <f>HYPERLINK("https://twitter.com/JCSura","@JCSura")</f>
        <v>@JCSura</v>
      </c>
      <c r="C1308" s="8" t="s">
        <v>4521</v>
      </c>
      <c r="D1308" s="9" t="s">
        <v>5110</v>
      </c>
      <c r="E1308" s="10" t="str">
        <f>HYPERLINK("https://twitter.com/JCSura/status/1065735461304508416","1065735461304508416")</f>
        <v>1065735461304508416</v>
      </c>
      <c r="F1308" s="11" t="s">
        <v>5111</v>
      </c>
      <c r="G1308" s="12"/>
      <c r="H1308" s="12"/>
      <c r="I1308" s="13">
        <v>0</v>
      </c>
      <c r="J1308" s="13">
        <v>0</v>
      </c>
      <c r="K1308" s="14" t="str">
        <f>HYPERLINK("http://www.lknsuite.com/","lknSuite App")</f>
        <v>lknSuite App</v>
      </c>
      <c r="L1308" s="13">
        <v>7853</v>
      </c>
      <c r="M1308" s="13">
        <v>699</v>
      </c>
      <c r="N1308" s="13">
        <v>175</v>
      </c>
      <c r="O1308" s="15"/>
      <c r="P1308" s="6">
        <v>39904.607858796298</v>
      </c>
      <c r="Q1308" s="17" t="s">
        <v>4523</v>
      </c>
      <c r="R1308" s="18" t="s">
        <v>4524</v>
      </c>
      <c r="S1308" s="11" t="s">
        <v>4525</v>
      </c>
      <c r="T1308" s="12"/>
      <c r="U1308" s="10" t="str">
        <f>HYPERLINK("https://pbs.twimg.com/profile_images/827568259465555968/4MROd4Dr.jpg","View")</f>
        <v>View</v>
      </c>
    </row>
    <row r="1309" spans="1:21" ht="20.399999999999999">
      <c r="A1309" s="6">
        <v>43426.982314814813</v>
      </c>
      <c r="B1309" s="7" t="str">
        <f>HYPERLINK("https://twitter.com/lygofukisoby","@lygofukisoby")</f>
        <v>@lygofukisoby</v>
      </c>
      <c r="C1309" s="8" t="s">
        <v>1932</v>
      </c>
      <c r="D1309" s="9" t="s">
        <v>1975</v>
      </c>
      <c r="E1309" s="10" t="str">
        <f>HYPERLINK("https://twitter.com/lygofukisoby/status/1065735306777935873","1065735306777935873")</f>
        <v>1065735306777935873</v>
      </c>
      <c r="F1309" s="12"/>
      <c r="G1309" s="11" t="s">
        <v>5112</v>
      </c>
      <c r="H1309" s="12"/>
      <c r="I1309" s="13">
        <v>0</v>
      </c>
      <c r="J1309" s="13">
        <v>0</v>
      </c>
      <c r="K1309" s="14" t="str">
        <f>HYPERLINK("https://ifttt.com","IFTTT")</f>
        <v>IFTTT</v>
      </c>
      <c r="L1309" s="13">
        <v>51</v>
      </c>
      <c r="M1309" s="13">
        <v>79</v>
      </c>
      <c r="N1309" s="13">
        <v>3</v>
      </c>
      <c r="O1309" s="15"/>
      <c r="P1309" s="6">
        <v>41706.167800925927</v>
      </c>
      <c r="Q1309" s="17" t="s">
        <v>1934</v>
      </c>
      <c r="R1309" s="18" t="s">
        <v>1935</v>
      </c>
      <c r="S1309" s="12"/>
      <c r="T1309" s="12"/>
      <c r="U1309" s="10" t="str">
        <f>HYPERLINK("https://pbs.twimg.com/profile_images/456020719474733056/_aI4ObiR.jpeg","View")</f>
        <v>View</v>
      </c>
    </row>
    <row r="1310" spans="1:21" ht="20.399999999999999">
      <c r="A1310" s="6">
        <v>43426.981261574074</v>
      </c>
      <c r="B1310" s="7" t="str">
        <f>HYPERLINK("https://twitter.com/MaquinasEmpac","@MaquinasEmpac")</f>
        <v>@MaquinasEmpac</v>
      </c>
      <c r="C1310" s="8" t="s">
        <v>4899</v>
      </c>
      <c r="D1310" s="9" t="s">
        <v>4900</v>
      </c>
      <c r="E1310" s="10" t="str">
        <f>HYPERLINK("https://twitter.com/MaquinasEmpac/status/1065734924936728577","1065734924936728577")</f>
        <v>1065734924936728577</v>
      </c>
      <c r="F1310" s="12"/>
      <c r="G1310" s="11" t="s">
        <v>5113</v>
      </c>
      <c r="H1310" s="12"/>
      <c r="I1310" s="13">
        <v>0</v>
      </c>
      <c r="J1310" s="13">
        <v>0</v>
      </c>
      <c r="K1310" s="14" t="str">
        <f>HYPERLINK("http://maquinas.empacadoras.org","App for press share")</f>
        <v>App for press share</v>
      </c>
      <c r="L1310" s="13">
        <v>21</v>
      </c>
      <c r="M1310" s="13">
        <v>1</v>
      </c>
      <c r="N1310" s="13">
        <v>0</v>
      </c>
      <c r="O1310" s="15"/>
      <c r="P1310" s="6">
        <v>42800.556296296301</v>
      </c>
      <c r="Q1310" s="12"/>
      <c r="R1310" s="19"/>
      <c r="S1310" s="12"/>
      <c r="T1310" s="12"/>
      <c r="U1310" s="16" t="s">
        <v>373</v>
      </c>
    </row>
    <row r="1311" spans="1:21" ht="30.6">
      <c r="A1311" s="6">
        <v>43426.981134259258</v>
      </c>
      <c r="B1311" s="7" t="str">
        <f>HYPERLINK("https://twitter.com/Julianvirome","@Julianvirome")</f>
        <v>@Julianvirome</v>
      </c>
      <c r="C1311" s="8" t="s">
        <v>5114</v>
      </c>
      <c r="D1311" s="9" t="s">
        <v>5115</v>
      </c>
      <c r="E1311" s="10" t="str">
        <f>HYPERLINK("https://twitter.com/Julianvirome/status/1065734879118270466","1065734879118270466")</f>
        <v>1065734879118270466</v>
      </c>
      <c r="F1311" s="12"/>
      <c r="G1311" s="12"/>
      <c r="H1311" s="12"/>
      <c r="I1311" s="13">
        <v>1</v>
      </c>
      <c r="J1311" s="13">
        <v>1</v>
      </c>
      <c r="K1311" s="14" t="str">
        <f>HYPERLINK("http://twitter.com/download/android","Twitter for Android")</f>
        <v>Twitter for Android</v>
      </c>
      <c r="L1311" s="13">
        <v>2634</v>
      </c>
      <c r="M1311" s="13">
        <v>4992</v>
      </c>
      <c r="N1311" s="13">
        <v>23</v>
      </c>
      <c r="O1311" s="15"/>
      <c r="P1311" s="6">
        <v>40630.875810185185</v>
      </c>
      <c r="Q1311" s="17" t="s">
        <v>72</v>
      </c>
      <c r="R1311" s="18" t="s">
        <v>5116</v>
      </c>
      <c r="S1311" s="12"/>
      <c r="T1311" s="12"/>
      <c r="U1311" s="10" t="str">
        <f>HYPERLINK("https://pbs.twimg.com/profile_images/1015475281803530241/aBROVKXy.jpg","View")</f>
        <v>View</v>
      </c>
    </row>
    <row r="1312" spans="1:21" ht="30.6">
      <c r="A1312" s="6">
        <v>43426.980462962965</v>
      </c>
      <c r="B1312" s="7" t="str">
        <f>HYPERLINK("https://twitter.com/Cazatalentos","@Cazatalentos")</f>
        <v>@Cazatalentos</v>
      </c>
      <c r="C1312" s="8" t="s">
        <v>5117</v>
      </c>
      <c r="D1312" s="9" t="s">
        <v>5118</v>
      </c>
      <c r="E1312" s="10" t="str">
        <f>HYPERLINK("https://twitter.com/Cazatalentos/status/1065734637761253376","1065734637761253376")</f>
        <v>1065734637761253376</v>
      </c>
      <c r="F1312" s="12"/>
      <c r="G1312" s="12"/>
      <c r="H1312" s="12"/>
      <c r="I1312" s="13">
        <v>23</v>
      </c>
      <c r="J1312" s="13">
        <v>34</v>
      </c>
      <c r="K1312" s="14" t="str">
        <f>HYPERLINK("http://twitter.com","Twitter Web Client")</f>
        <v>Twitter Web Client</v>
      </c>
      <c r="L1312" s="13">
        <v>76599</v>
      </c>
      <c r="M1312" s="13">
        <v>7569</v>
      </c>
      <c r="N1312" s="13">
        <v>600</v>
      </c>
      <c r="O1312" s="15"/>
      <c r="P1312" s="6">
        <v>40586.020960648151</v>
      </c>
      <c r="Q1312" s="17" t="s">
        <v>28</v>
      </c>
      <c r="R1312" s="18" t="s">
        <v>5119</v>
      </c>
      <c r="S1312" s="12"/>
      <c r="T1312" s="12"/>
      <c r="U1312" s="10" t="str">
        <f>HYPERLINK("https://pbs.twimg.com/profile_images/1001624750798573568/y8QV7epd.jpg","View")</f>
        <v>View</v>
      </c>
    </row>
    <row r="1313" spans="1:21" ht="20.399999999999999">
      <c r="A1313" s="6">
        <v>43426.980439814812</v>
      </c>
      <c r="B1313" s="7" t="str">
        <f>HYPERLINK("https://twitter.com/FranVetton","@FranVetton")</f>
        <v>@FranVetton</v>
      </c>
      <c r="C1313" s="8" t="s">
        <v>5120</v>
      </c>
      <c r="D1313" s="9" t="s">
        <v>5073</v>
      </c>
      <c r="E1313" s="10" t="str">
        <f>HYPERLINK("https://twitter.com/FranVetton/status/1065734627522957312","1065734627522957312")</f>
        <v>1065734627522957312</v>
      </c>
      <c r="F1313" s="11" t="s">
        <v>607</v>
      </c>
      <c r="G1313" s="12"/>
      <c r="H1313" s="12"/>
      <c r="I1313" s="13">
        <v>0</v>
      </c>
      <c r="J1313" s="13">
        <v>0</v>
      </c>
      <c r="K1313" s="14" t="str">
        <f>HYPERLINK("http://twitter.com/download/android","Twitter for Android")</f>
        <v>Twitter for Android</v>
      </c>
      <c r="L1313" s="13">
        <v>291</v>
      </c>
      <c r="M1313" s="13">
        <v>1881</v>
      </c>
      <c r="N1313" s="13">
        <v>8</v>
      </c>
      <c r="O1313" s="15"/>
      <c r="P1313" s="6">
        <v>41140.139675925922</v>
      </c>
      <c r="Q1313" s="17" t="s">
        <v>5121</v>
      </c>
      <c r="R1313" s="19"/>
      <c r="S1313" s="12"/>
      <c r="T1313" s="12"/>
      <c r="U1313" s="10" t="str">
        <f>HYPERLINK("https://pbs.twimg.com/profile_images/1047250769488039937/8hOMf5lU.jpg","View")</f>
        <v>View</v>
      </c>
    </row>
    <row r="1314" spans="1:21" ht="30.6">
      <c r="A1314" s="6">
        <v>43426.979374999995</v>
      </c>
      <c r="B1314" s="7" t="str">
        <f>HYPERLINK("https://twitter.com/ROSARIOCASTIL13","@ROSARIOCASTIL13")</f>
        <v>@ROSARIOCASTIL13</v>
      </c>
      <c r="C1314" s="8" t="s">
        <v>5122</v>
      </c>
      <c r="D1314" s="9" t="s">
        <v>2291</v>
      </c>
      <c r="E1314" s="10" t="str">
        <f>HYPERLINK("https://twitter.com/ROSARIOCASTIL13/status/1065734241336664069","1065734241336664069")</f>
        <v>1065734241336664069</v>
      </c>
      <c r="F1314" s="11" t="s">
        <v>5123</v>
      </c>
      <c r="G1314" s="12"/>
      <c r="H1314" s="12"/>
      <c r="I1314" s="13">
        <v>0</v>
      </c>
      <c r="J1314" s="13">
        <v>0</v>
      </c>
      <c r="K1314" s="14" t="str">
        <f t="shared" ref="K1314:K1315" si="210">HYPERLINK("http://twitter.com","Twitter Web Client")</f>
        <v>Twitter Web Client</v>
      </c>
      <c r="L1314" s="13">
        <v>58</v>
      </c>
      <c r="M1314" s="13">
        <v>96</v>
      </c>
      <c r="N1314" s="13">
        <v>13</v>
      </c>
      <c r="O1314" s="15"/>
      <c r="P1314" s="6">
        <v>40922.730092592596</v>
      </c>
      <c r="Q1314" s="12"/>
      <c r="R1314" s="19"/>
      <c r="S1314" s="12"/>
      <c r="T1314" s="12"/>
      <c r="U1314" s="16" t="s">
        <v>373</v>
      </c>
    </row>
    <row r="1315" spans="1:21" ht="30.6">
      <c r="A1315" s="6">
        <v>43426.979131944448</v>
      </c>
      <c r="B1315" s="7" t="str">
        <f>HYPERLINK("https://twitter.com/m_hellin","@m_hellin")</f>
        <v>@m_hellin</v>
      </c>
      <c r="C1315" s="8" t="s">
        <v>5124</v>
      </c>
      <c r="D1315" s="9" t="s">
        <v>3630</v>
      </c>
      <c r="E1315" s="10" t="str">
        <f>HYPERLINK("https://twitter.com/m_hellin/status/1065734156624293888","1065734156624293888")</f>
        <v>1065734156624293888</v>
      </c>
      <c r="F1315" s="11" t="s">
        <v>3631</v>
      </c>
      <c r="G1315" s="12"/>
      <c r="H1315" s="12"/>
      <c r="I1315" s="13">
        <v>0</v>
      </c>
      <c r="J1315" s="13">
        <v>0</v>
      </c>
      <c r="K1315" s="14" t="str">
        <f t="shared" si="210"/>
        <v>Twitter Web Client</v>
      </c>
      <c r="L1315" s="13">
        <v>1644</v>
      </c>
      <c r="M1315" s="13">
        <v>1593</v>
      </c>
      <c r="N1315" s="13">
        <v>38</v>
      </c>
      <c r="O1315" s="15"/>
      <c r="P1315" s="6">
        <v>41434.850717592592</v>
      </c>
      <c r="Q1315" s="12"/>
      <c r="R1315" s="18" t="s">
        <v>5125</v>
      </c>
      <c r="S1315" s="12"/>
      <c r="T1315" s="12"/>
      <c r="U1315" s="10" t="str">
        <f>HYPERLINK("https://pbs.twimg.com/profile_images/486572323722379264/exBGbFhO.png","View")</f>
        <v>View</v>
      </c>
    </row>
    <row r="1316" spans="1:21" ht="51">
      <c r="A1316" s="6">
        <v>43426.978506944448</v>
      </c>
      <c r="B1316" s="7" t="str">
        <f>HYPERLINK("https://twitter.com/Suave70511209","@Suave70511209")</f>
        <v>@Suave70511209</v>
      </c>
      <c r="C1316" s="8" t="s">
        <v>5096</v>
      </c>
      <c r="D1316" s="9" t="s">
        <v>5126</v>
      </c>
      <c r="E1316" s="10" t="str">
        <f>HYPERLINK("https://twitter.com/Suave70511209/status/1065733927862788096","1065733927862788096")</f>
        <v>1065733927862788096</v>
      </c>
      <c r="F1316" s="11" t="s">
        <v>5127</v>
      </c>
      <c r="G1316" s="11" t="s">
        <v>5128</v>
      </c>
      <c r="H1316" s="12"/>
      <c r="I1316" s="13">
        <v>0</v>
      </c>
      <c r="J1316" s="13">
        <v>0</v>
      </c>
      <c r="K1316" s="14" t="str">
        <f>HYPERLINK("http://twitter.com/download/iphone","Twitter for iPhone")</f>
        <v>Twitter for iPhone</v>
      </c>
      <c r="L1316" s="13">
        <v>213</v>
      </c>
      <c r="M1316" s="13">
        <v>664</v>
      </c>
      <c r="N1316" s="13">
        <v>0</v>
      </c>
      <c r="O1316" s="15"/>
      <c r="P1316" s="6">
        <v>43273.738611111112</v>
      </c>
      <c r="Q1316" s="12"/>
      <c r="R1316" s="18" t="s">
        <v>5099</v>
      </c>
      <c r="S1316" s="12"/>
      <c r="T1316" s="12"/>
      <c r="U1316" s="10" t="str">
        <f>HYPERLINK("https://pbs.twimg.com/profile_images/1010222086424547328/YhPI8KQm.jpg","View")</f>
        <v>View</v>
      </c>
    </row>
    <row r="1317" spans="1:21" ht="61.2">
      <c r="A1317" s="6">
        <v>43426.977314814816</v>
      </c>
      <c r="B1317" s="7" t="str">
        <f>HYPERLINK("https://twitter.com/UdeLaHabana","@UdeLaHabana")</f>
        <v>@UdeLaHabana</v>
      </c>
      <c r="C1317" s="8" t="s">
        <v>5129</v>
      </c>
      <c r="D1317" s="9" t="s">
        <v>5130</v>
      </c>
      <c r="E1317" s="10" t="str">
        <f>HYPERLINK("https://twitter.com/UdeLaHabana/status/1065733496772136960","1065733496772136960")</f>
        <v>1065733496772136960</v>
      </c>
      <c r="F1317" s="11" t="s">
        <v>5131</v>
      </c>
      <c r="G1317" s="11" t="s">
        <v>5132</v>
      </c>
      <c r="H1317" s="12"/>
      <c r="I1317" s="13">
        <v>3</v>
      </c>
      <c r="J1317" s="13">
        <v>7</v>
      </c>
      <c r="K1317" s="14" t="str">
        <f>HYPERLINK("http://twitter.com","Twitter Web Client")</f>
        <v>Twitter Web Client</v>
      </c>
      <c r="L1317" s="13">
        <v>5662</v>
      </c>
      <c r="M1317" s="13">
        <v>655</v>
      </c>
      <c r="N1317" s="13">
        <v>61</v>
      </c>
      <c r="O1317" s="15"/>
      <c r="P1317" s="6">
        <v>41894.734548611115</v>
      </c>
      <c r="Q1317" s="17" t="s">
        <v>40</v>
      </c>
      <c r="R1317" s="18" t="s">
        <v>5133</v>
      </c>
      <c r="S1317" s="11" t="s">
        <v>5134</v>
      </c>
      <c r="T1317" s="12"/>
      <c r="U1317" s="10" t="str">
        <f>HYPERLINK("https://pbs.twimg.com/profile_images/902184711845404672/DftBNxUj.jpg","View")</f>
        <v>View</v>
      </c>
    </row>
    <row r="1318" spans="1:21" ht="20.399999999999999">
      <c r="A1318" s="6">
        <v>43426.976087962961</v>
      </c>
      <c r="B1318" s="7" t="str">
        <f>HYPERLINK("https://twitter.com/NoticieroUniv","@NoticieroUniv")</f>
        <v>@NoticieroUniv</v>
      </c>
      <c r="C1318" s="8" t="s">
        <v>965</v>
      </c>
      <c r="D1318" s="9" t="s">
        <v>5135</v>
      </c>
      <c r="E1318" s="10" t="str">
        <f>HYPERLINK("https://twitter.com/NoticieroUniv/status/1065733051689377792","1065733051689377792")</f>
        <v>1065733051689377792</v>
      </c>
      <c r="F1318" s="11" t="s">
        <v>5136</v>
      </c>
      <c r="G1318" s="12"/>
      <c r="H1318" s="12"/>
      <c r="I1318" s="13">
        <v>0</v>
      </c>
      <c r="J1318" s="13">
        <v>0</v>
      </c>
      <c r="K1318" s="14" t="str">
        <f>HYPERLINK("https://noticierouniversal.com/","NoticieroUniversal")</f>
        <v>NoticieroUniversal</v>
      </c>
      <c r="L1318" s="13">
        <v>1080</v>
      </c>
      <c r="M1318" s="13">
        <v>36</v>
      </c>
      <c r="N1318" s="13">
        <v>21</v>
      </c>
      <c r="O1318" s="15"/>
      <c r="P1318" s="6">
        <v>42402.547939814816</v>
      </c>
      <c r="Q1318" s="17" t="s">
        <v>277</v>
      </c>
      <c r="R1318" s="18" t="s">
        <v>968</v>
      </c>
      <c r="S1318" s="11" t="s">
        <v>969</v>
      </c>
      <c r="T1318" s="12"/>
      <c r="U1318" s="10" t="str">
        <f>HYPERLINK("https://pbs.twimg.com/profile_images/719648419925594113/OnR0XNMn.jpg","View")</f>
        <v>View</v>
      </c>
    </row>
    <row r="1319" spans="1:21" ht="20.399999999999999">
      <c r="A1319" s="6">
        <v>43426.975763888884</v>
      </c>
      <c r="B1319" s="7" t="str">
        <f>HYPERLINK("https://twitter.com/PortalDiarioAR","@PortalDiarioAR")</f>
        <v>@PortalDiarioAR</v>
      </c>
      <c r="C1319" s="8" t="s">
        <v>34</v>
      </c>
      <c r="D1319" s="9" t="s">
        <v>5137</v>
      </c>
      <c r="E1319" s="10" t="str">
        <f>HYPERLINK("https://twitter.com/PortalDiarioAR/status/1065732932197699584","1065732932197699584")</f>
        <v>1065732932197699584</v>
      </c>
      <c r="F1319" s="11" t="s">
        <v>5138</v>
      </c>
      <c r="G1319" s="11" t="s">
        <v>5139</v>
      </c>
      <c r="H1319" s="12"/>
      <c r="I1319" s="13">
        <v>1</v>
      </c>
      <c r="J1319" s="13">
        <v>0</v>
      </c>
      <c r="K1319" s="14" t="str">
        <f>HYPERLINK("https://dlvrit.com/","dlvr.it")</f>
        <v>dlvr.it</v>
      </c>
      <c r="L1319" s="13">
        <v>2129</v>
      </c>
      <c r="M1319" s="13">
        <v>4</v>
      </c>
      <c r="N1319" s="13">
        <v>59</v>
      </c>
      <c r="O1319" s="15"/>
      <c r="P1319" s="6">
        <v>40910.191840277781</v>
      </c>
      <c r="Q1319" s="17" t="s">
        <v>36</v>
      </c>
      <c r="R1319" s="18" t="s">
        <v>37</v>
      </c>
      <c r="S1319" s="11" t="s">
        <v>38</v>
      </c>
      <c r="T1319" s="12"/>
      <c r="U1319" s="10" t="str">
        <f>HYPERLINK("https://pbs.twimg.com/profile_images/1001060315348586496/K3I7rPY5.jpg","View")</f>
        <v>View</v>
      </c>
    </row>
    <row r="1320" spans="1:21" ht="30.6">
      <c r="A1320" s="6">
        <v>43426.975613425922</v>
      </c>
      <c r="B1320" s="7" t="str">
        <f>HYPERLINK("https://twitter.com/raq73","@raq73")</f>
        <v>@raq73</v>
      </c>
      <c r="C1320" s="8" t="s">
        <v>5140</v>
      </c>
      <c r="D1320" s="9" t="s">
        <v>5141</v>
      </c>
      <c r="E1320" s="10" t="str">
        <f>HYPERLINK("https://twitter.com/raq73/status/1065732877701263362","1065732877701263362")</f>
        <v>1065732877701263362</v>
      </c>
      <c r="F1320" s="11" t="s">
        <v>5142</v>
      </c>
      <c r="G1320" s="12"/>
      <c r="H1320" s="12"/>
      <c r="I1320" s="13">
        <v>1</v>
      </c>
      <c r="J1320" s="13">
        <v>1</v>
      </c>
      <c r="K1320" s="14" t="str">
        <f>HYPERLINK("http://twitter.com/download/android","Twitter for Android")</f>
        <v>Twitter for Android</v>
      </c>
      <c r="L1320" s="13">
        <v>4049</v>
      </c>
      <c r="M1320" s="13">
        <v>5001</v>
      </c>
      <c r="N1320" s="13">
        <v>5</v>
      </c>
      <c r="O1320" s="15"/>
      <c r="P1320" s="6">
        <v>40847.478703703702</v>
      </c>
      <c r="Q1320" s="17" t="s">
        <v>5143</v>
      </c>
      <c r="R1320" s="18" t="s">
        <v>5144</v>
      </c>
      <c r="S1320" s="12"/>
      <c r="T1320" s="12"/>
      <c r="U1320" s="10" t="str">
        <f>HYPERLINK("https://pbs.twimg.com/profile_images/959854220739522560/f1Bp0ctA.jpg","View")</f>
        <v>View</v>
      </c>
    </row>
    <row r="1321" spans="1:21" ht="40.799999999999997">
      <c r="A1321" s="6">
        <v>43426.97520833333</v>
      </c>
      <c r="B1321" s="7" t="str">
        <f>HYPERLINK("https://twitter.com/Canal_Z_","@Canal_Z_")</f>
        <v>@Canal_Z_</v>
      </c>
      <c r="C1321" s="8" t="s">
        <v>4320</v>
      </c>
      <c r="D1321" s="9" t="s">
        <v>1681</v>
      </c>
      <c r="E1321" s="10" t="str">
        <f>HYPERLINK("https://twitter.com/Canal_Z_/status/1065732732439982086","1065732732439982086")</f>
        <v>1065732732439982086</v>
      </c>
      <c r="F1321" s="11" t="s">
        <v>4926</v>
      </c>
      <c r="G1321" s="11" t="s">
        <v>5146</v>
      </c>
      <c r="H1321" s="12"/>
      <c r="I1321" s="13">
        <v>1</v>
      </c>
      <c r="J1321" s="13">
        <v>0</v>
      </c>
      <c r="K1321" s="14" t="str">
        <f>HYPERLINK("http://twitter.com","Twitter Web Client")</f>
        <v>Twitter Web Client</v>
      </c>
      <c r="L1321" s="13">
        <v>2272</v>
      </c>
      <c r="M1321" s="13">
        <v>4991</v>
      </c>
      <c r="N1321" s="13">
        <v>6</v>
      </c>
      <c r="O1321" s="15"/>
      <c r="P1321" s="6">
        <v>41462.275254629625</v>
      </c>
      <c r="Q1321" s="17" t="s">
        <v>28</v>
      </c>
      <c r="R1321" s="18" t="s">
        <v>4322</v>
      </c>
      <c r="S1321" s="12"/>
      <c r="T1321" s="12"/>
      <c r="U1321" s="10" t="str">
        <f>HYPERLINK("https://pbs.twimg.com/profile_images/1008407123242422272/aENpWjy6.jpg","View")</f>
        <v>View</v>
      </c>
    </row>
    <row r="1322" spans="1:21" ht="40.799999999999997">
      <c r="A1322" s="6">
        <v>43426.974942129629</v>
      </c>
      <c r="B1322" s="7" t="str">
        <f>HYPERLINK("https://twitter.com/sergynumberone","@sergynumberone")</f>
        <v>@sergynumberone</v>
      </c>
      <c r="C1322" s="8" t="s">
        <v>5147</v>
      </c>
      <c r="D1322" s="9" t="s">
        <v>5148</v>
      </c>
      <c r="E1322" s="10" t="str">
        <f>HYPERLINK("https://twitter.com/sergynumberone/status/1065732637338279948","1065732637338279948")</f>
        <v>1065732637338279948</v>
      </c>
      <c r="F1322" s="12"/>
      <c r="G1322" s="12"/>
      <c r="H1322" s="12"/>
      <c r="I1322" s="13">
        <v>0</v>
      </c>
      <c r="J1322" s="13">
        <v>1</v>
      </c>
      <c r="K1322" s="14" t="str">
        <f>HYPERLINK("http://twitter.com/download/android","Twitter for Android")</f>
        <v>Twitter for Android</v>
      </c>
      <c r="L1322" s="13">
        <v>826</v>
      </c>
      <c r="M1322" s="13">
        <v>964</v>
      </c>
      <c r="N1322" s="13">
        <v>8</v>
      </c>
      <c r="O1322" s="15"/>
      <c r="P1322" s="6">
        <v>41454.673391203702</v>
      </c>
      <c r="Q1322" s="12"/>
      <c r="R1322" s="18" t="s">
        <v>5149</v>
      </c>
      <c r="S1322" s="12"/>
      <c r="T1322" s="12"/>
      <c r="U1322" s="10" t="str">
        <f>HYPERLINK("https://pbs.twimg.com/profile_images/1043959431682248704/MXIvwN6a.jpg","View")</f>
        <v>View</v>
      </c>
    </row>
    <row r="1323" spans="1:21" ht="30.6">
      <c r="A1323" s="6">
        <v>43426.974780092598</v>
      </c>
      <c r="B1323" s="7" t="str">
        <f>HYPERLINK("https://twitter.com/mirthaguerramor","@mirthaguerramor")</f>
        <v>@mirthaguerramor</v>
      </c>
      <c r="C1323" s="8" t="s">
        <v>5150</v>
      </c>
      <c r="D1323" s="9" t="s">
        <v>5151</v>
      </c>
      <c r="E1323" s="10" t="str">
        <f>HYPERLINK("https://twitter.com/mirthaguerramor/status/1065732576189534209","1065732576189534209")</f>
        <v>1065732576189534209</v>
      </c>
      <c r="F1323" s="12"/>
      <c r="G1323" s="11" t="s">
        <v>5132</v>
      </c>
      <c r="H1323" s="12"/>
      <c r="I1323" s="13">
        <v>1</v>
      </c>
      <c r="J1323" s="13">
        <v>7</v>
      </c>
      <c r="K1323" s="14" t="str">
        <f>HYPERLINK("https://mobile.twitter.com","Twitter Lite")</f>
        <v>Twitter Lite</v>
      </c>
      <c r="L1323" s="13">
        <v>168</v>
      </c>
      <c r="M1323" s="13">
        <v>363</v>
      </c>
      <c r="N1323" s="13">
        <v>2</v>
      </c>
      <c r="O1323" s="15"/>
      <c r="P1323" s="6">
        <v>41207.965405092589</v>
      </c>
      <c r="Q1323" s="17" t="s">
        <v>475</v>
      </c>
      <c r="R1323" s="18" t="s">
        <v>5152</v>
      </c>
      <c r="S1323" s="12"/>
      <c r="T1323" s="12"/>
      <c r="U1323" s="10" t="str">
        <f>HYPERLINK("https://pbs.twimg.com/profile_images/844579065826754564/CTdH35qS.jpg","View")</f>
        <v>View</v>
      </c>
    </row>
    <row r="1324" spans="1:21" ht="30.6">
      <c r="A1324" s="6">
        <v>43426.973865740743</v>
      </c>
      <c r="B1324" s="7" t="str">
        <f>HYPERLINK("https://twitter.com/Daniela59825694","@Daniela59825694")</f>
        <v>@Daniela59825694</v>
      </c>
      <c r="C1324" s="8" t="s">
        <v>5153</v>
      </c>
      <c r="D1324" s="9" t="s">
        <v>3658</v>
      </c>
      <c r="E1324" s="10" t="str">
        <f>HYPERLINK("https://twitter.com/Daniela59825694/status/1065732245997133824","1065732245997133824")</f>
        <v>1065732245997133824</v>
      </c>
      <c r="F1324" s="11" t="s">
        <v>607</v>
      </c>
      <c r="G1324" s="12"/>
      <c r="H1324" s="12"/>
      <c r="I1324" s="13">
        <v>0</v>
      </c>
      <c r="J1324" s="13">
        <v>0</v>
      </c>
      <c r="K1324" s="14" t="str">
        <f>HYPERLINK("http://twitter.com/download/iphone","Twitter for iPhone")</f>
        <v>Twitter for iPhone</v>
      </c>
      <c r="L1324" s="13">
        <v>373</v>
      </c>
      <c r="M1324" s="13">
        <v>358</v>
      </c>
      <c r="N1324" s="13">
        <v>0</v>
      </c>
      <c r="O1324" s="15"/>
      <c r="P1324" s="6">
        <v>43234.614201388889</v>
      </c>
      <c r="Q1324" s="17" t="s">
        <v>28</v>
      </c>
      <c r="R1324" s="18" t="s">
        <v>5154</v>
      </c>
      <c r="S1324" s="12"/>
      <c r="T1324" s="12"/>
      <c r="U1324" s="10" t="str">
        <f>HYPERLINK("https://pbs.twimg.com/profile_images/996009660342849537/CH6JscvE.jpg","View")</f>
        <v>View</v>
      </c>
    </row>
    <row r="1325" spans="1:21" ht="40.799999999999997">
      <c r="A1325" s="6">
        <v>43426.973761574074</v>
      </c>
      <c r="B1325" s="7" t="str">
        <f>HYPERLINK("https://twitter.com/PedroChamonL","@PedroChamonL")</f>
        <v>@PedroChamonL</v>
      </c>
      <c r="C1325" s="8" t="s">
        <v>5155</v>
      </c>
      <c r="D1325" s="9" t="s">
        <v>5156</v>
      </c>
      <c r="E1325" s="10" t="str">
        <f>HYPERLINK("https://twitter.com/PedroChamonL/status/1065732207032061953","1065732207032061953")</f>
        <v>1065732207032061953</v>
      </c>
      <c r="F1325" s="11" t="s">
        <v>5157</v>
      </c>
      <c r="G1325" s="12"/>
      <c r="H1325" s="12"/>
      <c r="I1325" s="13">
        <v>1</v>
      </c>
      <c r="J1325" s="13">
        <v>0</v>
      </c>
      <c r="K1325" s="14" t="str">
        <f>HYPERLINK("http://twitter.com/download/android","Twitter for Android")</f>
        <v>Twitter for Android</v>
      </c>
      <c r="L1325" s="13">
        <v>10267</v>
      </c>
      <c r="M1325" s="13">
        <v>8722</v>
      </c>
      <c r="N1325" s="13">
        <v>44</v>
      </c>
      <c r="O1325" s="15"/>
      <c r="P1325" s="6">
        <v>40624.842997685184</v>
      </c>
      <c r="Q1325" s="17" t="s">
        <v>5158</v>
      </c>
      <c r="R1325" s="18" t="s">
        <v>5159</v>
      </c>
      <c r="S1325" s="12"/>
      <c r="T1325" s="12"/>
      <c r="U1325" s="10" t="str">
        <f>HYPERLINK("https://pbs.twimg.com/profile_images/793570484357038080/tfzxrcPm.jpg","View")</f>
        <v>View</v>
      </c>
    </row>
    <row r="1326" spans="1:21" ht="30.6">
      <c r="A1326" s="6">
        <v>43426.973692129628</v>
      </c>
      <c r="B1326" s="7" t="str">
        <f>HYPERLINK("https://twitter.com/Maximustw","@Maximustw")</f>
        <v>@Maximustw</v>
      </c>
      <c r="C1326" s="8" t="s">
        <v>5160</v>
      </c>
      <c r="D1326" s="9" t="s">
        <v>5161</v>
      </c>
      <c r="E1326" s="10" t="str">
        <f>HYPERLINK("https://twitter.com/Maximustw/status/1065732183514628098","1065732183514628098")</f>
        <v>1065732183514628098</v>
      </c>
      <c r="F1326" s="11" t="s">
        <v>5162</v>
      </c>
      <c r="G1326" s="12"/>
      <c r="H1326" s="12"/>
      <c r="I1326" s="13">
        <v>1</v>
      </c>
      <c r="J1326" s="13">
        <v>1</v>
      </c>
      <c r="K1326" s="14" t="str">
        <f>HYPERLINK("http://twitter.com/download/iphone","Twitter for iPhone")</f>
        <v>Twitter for iPhone</v>
      </c>
      <c r="L1326" s="13">
        <v>677</v>
      </c>
      <c r="M1326" s="13">
        <v>1042</v>
      </c>
      <c r="N1326" s="13">
        <v>0</v>
      </c>
      <c r="O1326" s="15"/>
      <c r="P1326" s="6">
        <v>40228.734155092592</v>
      </c>
      <c r="Q1326" s="17" t="s">
        <v>5163</v>
      </c>
      <c r="R1326" s="18" t="s">
        <v>5164</v>
      </c>
      <c r="S1326" s="12"/>
      <c r="T1326" s="12"/>
      <c r="U1326" s="10" t="str">
        <f>HYPERLINK("https://pbs.twimg.com/profile_images/705836255/Maximusminimus.jpeg","View")</f>
        <v>View</v>
      </c>
    </row>
    <row r="1327" spans="1:21" ht="40.799999999999997">
      <c r="A1327" s="6">
        <v>43426.973553240736</v>
      </c>
      <c r="B1327" s="7" t="str">
        <f>HYPERLINK("https://twitter.com/moscojonera49","@moscojonera49")</f>
        <v>@moscojonera49</v>
      </c>
      <c r="C1327" s="8" t="s">
        <v>5165</v>
      </c>
      <c r="D1327" s="9" t="s">
        <v>5166</v>
      </c>
      <c r="E1327" s="10" t="str">
        <f>HYPERLINK("https://twitter.com/moscojonera49/status/1065732131429720068","1065732131429720068")</f>
        <v>1065732131429720068</v>
      </c>
      <c r="F1327" s="12"/>
      <c r="G1327" s="12"/>
      <c r="H1327" s="12"/>
      <c r="I1327" s="13">
        <v>1</v>
      </c>
      <c r="J1327" s="13">
        <v>0</v>
      </c>
      <c r="K1327" s="14" t="str">
        <f>HYPERLINK("http://twitter.com/download/android","Twitter for Android")</f>
        <v>Twitter for Android</v>
      </c>
      <c r="L1327" s="13">
        <v>1014</v>
      </c>
      <c r="M1327" s="13">
        <v>952</v>
      </c>
      <c r="N1327" s="13">
        <v>13</v>
      </c>
      <c r="O1327" s="15"/>
      <c r="P1327" s="6">
        <v>41882.005370370374</v>
      </c>
      <c r="Q1327" s="17" t="s">
        <v>5167</v>
      </c>
      <c r="R1327" s="18" t="s">
        <v>5168</v>
      </c>
      <c r="S1327" s="12"/>
      <c r="T1327" s="12"/>
      <c r="U1327" s="10" t="str">
        <f>HYPERLINK("https://pbs.twimg.com/profile_images/507925467287269377/WGwe95Gc.jpeg","View")</f>
        <v>View</v>
      </c>
    </row>
    <row r="1328" spans="1:21" ht="40.799999999999997">
      <c r="A1328" s="6">
        <v>43426.972951388889</v>
      </c>
      <c r="B1328" s="7" t="str">
        <f>HYPERLINK("https://twitter.com/jatirado","@jatirado")</f>
        <v>@jatirado</v>
      </c>
      <c r="C1328" s="8" t="s">
        <v>1985</v>
      </c>
      <c r="D1328" s="9" t="s">
        <v>1975</v>
      </c>
      <c r="E1328" s="10" t="str">
        <f>HYPERLINK("https://twitter.com/jatirado/status/1065731914303135744","1065731914303135744")</f>
        <v>1065731914303135744</v>
      </c>
      <c r="F1328" s="11" t="s">
        <v>5169</v>
      </c>
      <c r="G1328" s="11" t="s">
        <v>5170</v>
      </c>
      <c r="H1328" s="12"/>
      <c r="I1328" s="13">
        <v>2</v>
      </c>
      <c r="J1328" s="13">
        <v>3</v>
      </c>
      <c r="K1328" s="14" t="str">
        <f>HYPERLINK("https://dlvrit.com/","dlvr.it")</f>
        <v>dlvr.it</v>
      </c>
      <c r="L1328" s="13">
        <v>81726</v>
      </c>
      <c r="M1328" s="13">
        <v>54342</v>
      </c>
      <c r="N1328" s="13">
        <v>1027</v>
      </c>
      <c r="O1328" s="15"/>
      <c r="P1328" s="6">
        <v>40353.552581018521</v>
      </c>
      <c r="Q1328" s="17" t="s">
        <v>72</v>
      </c>
      <c r="R1328" s="18" t="s">
        <v>1988</v>
      </c>
      <c r="S1328" s="11" t="s">
        <v>1989</v>
      </c>
      <c r="T1328" s="12"/>
      <c r="U1328" s="10" t="str">
        <f>HYPERLINK("https://pbs.twimg.com/profile_images/485680559742791680/dg68o8vH.jpeg","View")</f>
        <v>View</v>
      </c>
    </row>
    <row r="1329" spans="1:21" ht="30.6">
      <c r="A1329" s="6">
        <v>43426.972870370373</v>
      </c>
      <c r="B1329" s="7" t="str">
        <f>HYPERLINK("https://twitter.com/Mc13_8","@Mc13_8")</f>
        <v>@Mc13_8</v>
      </c>
      <c r="C1329" s="8" t="s">
        <v>5171</v>
      </c>
      <c r="D1329" s="9" t="s">
        <v>5172</v>
      </c>
      <c r="E1329" s="10" t="str">
        <f>HYPERLINK("https://twitter.com/Mc13_8/status/1065731886465630209","1065731886465630209")</f>
        <v>1065731886465630209</v>
      </c>
      <c r="F1329" s="11" t="s">
        <v>5173</v>
      </c>
      <c r="G1329" s="12"/>
      <c r="H1329" s="12"/>
      <c r="I1329" s="13">
        <v>2</v>
      </c>
      <c r="J1329" s="13">
        <v>1</v>
      </c>
      <c r="K1329" s="14" t="str">
        <f>HYPERLINK("http://www.facebook.com/twitter","Facebook")</f>
        <v>Facebook</v>
      </c>
      <c r="L1329" s="13">
        <v>942</v>
      </c>
      <c r="M1329" s="13">
        <v>1170</v>
      </c>
      <c r="N1329" s="13">
        <v>8</v>
      </c>
      <c r="O1329" s="15"/>
      <c r="P1329" s="6">
        <v>40615.979224537034</v>
      </c>
      <c r="Q1329" s="17" t="s">
        <v>5174</v>
      </c>
      <c r="R1329" s="18" t="s">
        <v>5175</v>
      </c>
      <c r="S1329" s="12"/>
      <c r="T1329" s="12"/>
      <c r="U1329" s="10" t="str">
        <f>HYPERLINK("https://pbs.twimg.com/profile_images/1021125674801786880/FOjSs6x_.jpg","View")</f>
        <v>View</v>
      </c>
    </row>
    <row r="1330" spans="1:21" ht="30.6">
      <c r="A1330" s="6">
        <v>43426.97283564815</v>
      </c>
      <c r="B1330" s="7" t="str">
        <f>HYPERLINK("https://twitter.com/gross1889","@gross1889")</f>
        <v>@gross1889</v>
      </c>
      <c r="C1330" s="8" t="s">
        <v>5176</v>
      </c>
      <c r="D1330" s="9" t="s">
        <v>5177</v>
      </c>
      <c r="E1330" s="10" t="str">
        <f>HYPERLINK("https://twitter.com/gross1889/status/1065731874063114241","1065731874063114241")</f>
        <v>1065731874063114241</v>
      </c>
      <c r="F1330" s="11" t="s">
        <v>5178</v>
      </c>
      <c r="G1330" s="12"/>
      <c r="H1330" s="12"/>
      <c r="I1330" s="13">
        <v>3</v>
      </c>
      <c r="J1330" s="13">
        <v>2</v>
      </c>
      <c r="K1330" s="14" t="str">
        <f>HYPERLINK("http://twitter.com","Twitter Web Client")</f>
        <v>Twitter Web Client</v>
      </c>
      <c r="L1330" s="13">
        <v>2940</v>
      </c>
      <c r="M1330" s="13">
        <v>4511</v>
      </c>
      <c r="N1330" s="13">
        <v>15</v>
      </c>
      <c r="O1330" s="15"/>
      <c r="P1330" s="6">
        <v>41831.951064814813</v>
      </c>
      <c r="Q1330" s="12"/>
      <c r="R1330" s="18" t="s">
        <v>5179</v>
      </c>
      <c r="S1330" s="12"/>
      <c r="T1330" s="12"/>
      <c r="U1330" s="10" t="str">
        <f>HYPERLINK("https://pbs.twimg.com/profile_images/1062857726856966149/UNeEs26X.jpg","View")</f>
        <v>View</v>
      </c>
    </row>
    <row r="1331" spans="1:21" ht="30.6">
      <c r="A1331" s="6">
        <v>43426.972800925927</v>
      </c>
      <c r="B1331" s="7" t="str">
        <f>HYPERLINK("https://twitter.com/diariodeavisos","@diariodeavisos")</f>
        <v>@diariodeavisos</v>
      </c>
      <c r="C1331" s="8" t="s">
        <v>5180</v>
      </c>
      <c r="D1331" s="9" t="s">
        <v>5181</v>
      </c>
      <c r="E1331" s="10" t="str">
        <f>HYPERLINK("https://twitter.com/diariodeavisos/status/1065731859806593024","1065731859806593024")</f>
        <v>1065731859806593024</v>
      </c>
      <c r="F1331" s="11" t="s">
        <v>5182</v>
      </c>
      <c r="G1331" s="11" t="s">
        <v>5183</v>
      </c>
      <c r="H1331" s="12"/>
      <c r="I1331" s="13">
        <v>1</v>
      </c>
      <c r="J1331" s="13">
        <v>0</v>
      </c>
      <c r="K1331" s="14" t="str">
        <f>HYPERLINK("https://about.twitter.com/products/tweetdeck","TweetDeck")</f>
        <v>TweetDeck</v>
      </c>
      <c r="L1331" s="13">
        <v>88326</v>
      </c>
      <c r="M1331" s="13">
        <v>60</v>
      </c>
      <c r="N1331" s="13">
        <v>899</v>
      </c>
      <c r="O1331" s="15"/>
      <c r="P1331" s="6">
        <v>39952.561157407406</v>
      </c>
      <c r="Q1331" s="17" t="s">
        <v>5145</v>
      </c>
      <c r="R1331" s="18" t="s">
        <v>5184</v>
      </c>
      <c r="S1331" s="11" t="s">
        <v>5185</v>
      </c>
      <c r="T1331" s="12"/>
      <c r="U1331" s="10" t="str">
        <f>HYPERLINK("https://pbs.twimg.com/profile_images/921158495814201350/gpcK3oaP.jpg","View")</f>
        <v>View</v>
      </c>
    </row>
    <row r="1332" spans="1:21" ht="20.399999999999999">
      <c r="A1332" s="6">
        <v>43426.97278935185</v>
      </c>
      <c r="B1332" s="7" t="str">
        <f>HYPERLINK("https://twitter.com/L20mOtros","@L20mOtros")</f>
        <v>@L20mOtros</v>
      </c>
      <c r="C1332" s="8" t="s">
        <v>4809</v>
      </c>
      <c r="D1332" s="9" t="s">
        <v>3088</v>
      </c>
      <c r="E1332" s="10" t="str">
        <f>HYPERLINK("https://twitter.com/L20mOtros/status/1065731856740610048","1065731856740610048")</f>
        <v>1065731856740610048</v>
      </c>
      <c r="F1332" s="11" t="s">
        <v>5186</v>
      </c>
      <c r="G1332" s="11" t="s">
        <v>5187</v>
      </c>
      <c r="H1332" s="12"/>
      <c r="I1332" s="13">
        <v>0</v>
      </c>
      <c r="J1332" s="13">
        <v>0</v>
      </c>
      <c r="K1332" s="14" t="str">
        <f>HYPERLINK("http://dogtrack.es","DogTrack_Oficial")</f>
        <v>DogTrack_Oficial</v>
      </c>
      <c r="L1332" s="13">
        <v>22</v>
      </c>
      <c r="M1332" s="13">
        <v>8</v>
      </c>
      <c r="N1332" s="13">
        <v>0</v>
      </c>
      <c r="O1332" s="15"/>
      <c r="P1332" s="6">
        <v>41285.602418981478</v>
      </c>
      <c r="Q1332" s="12"/>
      <c r="R1332" s="19"/>
      <c r="S1332" s="11" t="s">
        <v>4812</v>
      </c>
      <c r="T1332" s="12"/>
      <c r="U1332" s="10" t="str">
        <f>HYPERLINK("https://pbs.twimg.com/profile_images/3148562799/6854a445e373c5053b43f5c11d764b41.jpeg","View")</f>
        <v>View</v>
      </c>
    </row>
    <row r="1333" spans="1:21" ht="61.2">
      <c r="A1333" s="6">
        <v>43426.972326388888</v>
      </c>
      <c r="B1333" s="7" t="str">
        <f>HYPERLINK("https://twitter.com/Barbajaputa","@Barbajaputa")</f>
        <v>@Barbajaputa</v>
      </c>
      <c r="C1333" s="8" t="s">
        <v>5189</v>
      </c>
      <c r="D1333" s="9" t="s">
        <v>5190</v>
      </c>
      <c r="E1333" s="10" t="str">
        <f>HYPERLINK("https://twitter.com/Barbajaputa/status/1065731688100257792","1065731688100257792")</f>
        <v>1065731688100257792</v>
      </c>
      <c r="F1333" s="11" t="s">
        <v>2984</v>
      </c>
      <c r="G1333" s="12"/>
      <c r="H1333" s="12"/>
      <c r="I1333" s="13">
        <v>0</v>
      </c>
      <c r="J1333" s="13">
        <v>0</v>
      </c>
      <c r="K1333" s="14" t="str">
        <f t="shared" ref="K1333:K1334" si="211">HYPERLINK("http://twitter.com","Twitter Web Client")</f>
        <v>Twitter Web Client</v>
      </c>
      <c r="L1333" s="13">
        <v>293</v>
      </c>
      <c r="M1333" s="13">
        <v>172</v>
      </c>
      <c r="N1333" s="13">
        <v>2</v>
      </c>
      <c r="O1333" s="15"/>
      <c r="P1333" s="6">
        <v>41554.601550925923</v>
      </c>
      <c r="Q1333" s="12"/>
      <c r="R1333" s="18" t="s">
        <v>5193</v>
      </c>
      <c r="S1333" s="12"/>
      <c r="T1333" s="12"/>
      <c r="U1333" s="10" t="str">
        <f>HYPERLINK("https://pbs.twimg.com/profile_images/1051091312483684352/8PiZ-KCV.jpg","View")</f>
        <v>View</v>
      </c>
    </row>
    <row r="1334" spans="1:21" ht="30.6">
      <c r="A1334" s="6">
        <v>43426.972025462965</v>
      </c>
      <c r="B1334" s="7" t="str">
        <f>HYPERLINK("https://twitter.com/FedericoClemen8","@FedericoClemen8")</f>
        <v>@FedericoClemen8</v>
      </c>
      <c r="C1334" s="8" t="s">
        <v>4642</v>
      </c>
      <c r="D1334" s="9" t="s">
        <v>5194</v>
      </c>
      <c r="E1334" s="10" t="str">
        <f>HYPERLINK("https://twitter.com/FedericoClemen8/status/1065731578524024834","1065731578524024834")</f>
        <v>1065731578524024834</v>
      </c>
      <c r="F1334" s="11" t="s">
        <v>4590</v>
      </c>
      <c r="G1334" s="12"/>
      <c r="H1334" s="12"/>
      <c r="I1334" s="13">
        <v>2</v>
      </c>
      <c r="J1334" s="13">
        <v>1</v>
      </c>
      <c r="K1334" s="14" t="str">
        <f t="shared" si="211"/>
        <v>Twitter Web Client</v>
      </c>
      <c r="L1334" s="13">
        <v>363</v>
      </c>
      <c r="M1334" s="13">
        <v>2578</v>
      </c>
      <c r="N1334" s="13">
        <v>2</v>
      </c>
      <c r="O1334" s="15"/>
      <c r="P1334" s="6">
        <v>43097.20612268518</v>
      </c>
      <c r="Q1334" s="12"/>
      <c r="R1334" s="19"/>
      <c r="S1334" s="12"/>
      <c r="T1334" s="12"/>
      <c r="U1334" s="10" t="str">
        <f>HYPERLINK("https://pbs.twimg.com/profile_images/947336587058270209/2wcTlDS3.jpg","View")</f>
        <v>View</v>
      </c>
    </row>
    <row r="1335" spans="1:21" ht="20.399999999999999">
      <c r="A1335" s="6">
        <v>43426.971689814818</v>
      </c>
      <c r="B1335" s="7" t="str">
        <f>HYPERLINK("https://twitter.com/NuriaFC74","@NuriaFC74")</f>
        <v>@NuriaFC74</v>
      </c>
      <c r="C1335" s="8" t="s">
        <v>5195</v>
      </c>
      <c r="D1335" s="9" t="s">
        <v>3658</v>
      </c>
      <c r="E1335" s="10" t="str">
        <f>HYPERLINK("https://twitter.com/NuriaFC74/status/1065731456100651009","1065731456100651009")</f>
        <v>1065731456100651009</v>
      </c>
      <c r="F1335" s="11" t="s">
        <v>607</v>
      </c>
      <c r="G1335" s="12"/>
      <c r="H1335" s="12"/>
      <c r="I1335" s="13">
        <v>0</v>
      </c>
      <c r="J1335" s="13">
        <v>0</v>
      </c>
      <c r="K1335" s="14" t="str">
        <f>HYPERLINK("http://www.facebook.com/twitter","Facebook")</f>
        <v>Facebook</v>
      </c>
      <c r="L1335" s="13">
        <v>16</v>
      </c>
      <c r="M1335" s="13">
        <v>72</v>
      </c>
      <c r="N1335" s="13">
        <v>0</v>
      </c>
      <c r="O1335" s="15"/>
      <c r="P1335" s="6">
        <v>40824.726898148147</v>
      </c>
      <c r="Q1335" s="17" t="s">
        <v>4480</v>
      </c>
      <c r="R1335" s="19"/>
      <c r="S1335" s="12"/>
      <c r="T1335" s="12"/>
      <c r="U1335" s="10" t="str">
        <f>HYPERLINK("https://pbs.twimg.com/profile_images/1064139413222031360/mBs-rZ2m.jpg","View")</f>
        <v>View</v>
      </c>
    </row>
    <row r="1336" spans="1:21" ht="40.799999999999997">
      <c r="A1336" s="6">
        <v>43426.970856481479</v>
      </c>
      <c r="B1336" s="7" t="str">
        <f>HYPERLINK("https://twitter.com/JPBellido","@JPBellido")</f>
        <v>@JPBellido</v>
      </c>
      <c r="C1336" s="8" t="s">
        <v>5196</v>
      </c>
      <c r="D1336" s="9" t="s">
        <v>5197</v>
      </c>
      <c r="E1336" s="10" t="str">
        <f>HYPERLINK("https://twitter.com/JPBellido/status/1065731153875910656","1065731153875910656")</f>
        <v>1065731153875910656</v>
      </c>
      <c r="F1336" s="12"/>
      <c r="G1336" s="11" t="s">
        <v>5200</v>
      </c>
      <c r="H1336" s="12"/>
      <c r="I1336" s="13">
        <v>4</v>
      </c>
      <c r="J1336" s="13">
        <v>5</v>
      </c>
      <c r="K1336" s="14" t="str">
        <f>HYPERLINK("http://twitter.com","Twitter Web Client")</f>
        <v>Twitter Web Client</v>
      </c>
      <c r="L1336" s="13">
        <v>84326</v>
      </c>
      <c r="M1336" s="13">
        <v>3701</v>
      </c>
      <c r="N1336" s="13">
        <v>1060</v>
      </c>
      <c r="O1336" s="16" t="s">
        <v>26</v>
      </c>
      <c r="P1336" s="6">
        <v>40603.457569444443</v>
      </c>
      <c r="Q1336" s="17" t="s">
        <v>5201</v>
      </c>
      <c r="R1336" s="18" t="s">
        <v>5202</v>
      </c>
      <c r="S1336" s="11" t="s">
        <v>5203</v>
      </c>
      <c r="T1336" s="12"/>
      <c r="U1336" s="10" t="str">
        <f>HYPERLINK("https://pbs.twimg.com/profile_images/951545555049738240/riE8Cl4W.jpg","View")</f>
        <v>View</v>
      </c>
    </row>
    <row r="1337" spans="1:21" ht="51">
      <c r="A1337" s="6">
        <v>43426.970069444447</v>
      </c>
      <c r="B1337" s="7" t="str">
        <f>HYPERLINK("https://twitter.com/veronicalderon","@veronicalderon")</f>
        <v>@veronicalderon</v>
      </c>
      <c r="C1337" s="8" t="s">
        <v>5204</v>
      </c>
      <c r="D1337" s="9" t="s">
        <v>5205</v>
      </c>
      <c r="E1337" s="10" t="str">
        <f>HYPERLINK("https://twitter.com/veronicalderon/status/1065730868428320768","1065730868428320768")</f>
        <v>1065730868428320768</v>
      </c>
      <c r="F1337" s="11" t="s">
        <v>5206</v>
      </c>
      <c r="G1337" s="11" t="s">
        <v>5207</v>
      </c>
      <c r="H1337" s="12"/>
      <c r="I1337" s="13">
        <v>0</v>
      </c>
      <c r="J1337" s="13">
        <v>1</v>
      </c>
      <c r="K1337" s="14" t="str">
        <f>HYPERLINK("http://twitter.com/download/iphone","Twitter for iPhone")</f>
        <v>Twitter for iPhone</v>
      </c>
      <c r="L1337" s="13">
        <v>21308</v>
      </c>
      <c r="M1337" s="13">
        <v>3691</v>
      </c>
      <c r="N1337" s="13">
        <v>620</v>
      </c>
      <c r="O1337" s="16" t="s">
        <v>26</v>
      </c>
      <c r="P1337" s="6">
        <v>39877.981504629628</v>
      </c>
      <c r="Q1337" s="17" t="s">
        <v>5208</v>
      </c>
      <c r="R1337" s="18" t="s">
        <v>5209</v>
      </c>
      <c r="S1337" s="11" t="s">
        <v>5210</v>
      </c>
      <c r="T1337" s="12"/>
      <c r="U1337" s="10" t="str">
        <f>HYPERLINK("https://pbs.twimg.com/profile_images/1054455530993913856/TGNNpxxC.jpg","View")</f>
        <v>View</v>
      </c>
    </row>
    <row r="1338" spans="1:21" ht="30.6">
      <c r="A1338" s="6">
        <v>43426.969212962962</v>
      </c>
      <c r="B1338" s="7" t="str">
        <f>HYPERLINK("https://twitter.com/TurboNoticias","@TurboNoticias")</f>
        <v>@TurboNoticias</v>
      </c>
      <c r="C1338" s="8" t="s">
        <v>1002</v>
      </c>
      <c r="D1338" s="9" t="s">
        <v>2799</v>
      </c>
      <c r="E1338" s="10" t="str">
        <f>HYPERLINK("https://twitter.com/TurboNoticias/status/1065730558859403266","1065730558859403266")</f>
        <v>1065730558859403266</v>
      </c>
      <c r="F1338" s="11" t="s">
        <v>1618</v>
      </c>
      <c r="G1338" s="12"/>
      <c r="H1338" s="12"/>
      <c r="I1338" s="13">
        <v>0</v>
      </c>
      <c r="J1338" s="13">
        <v>0</v>
      </c>
      <c r="K1338" s="14" t="str">
        <f>HYPERLINK("https://ifttt.com","IFTTT")</f>
        <v>IFTTT</v>
      </c>
      <c r="L1338" s="13">
        <v>962</v>
      </c>
      <c r="M1338" s="13">
        <v>853</v>
      </c>
      <c r="N1338" s="13">
        <v>72</v>
      </c>
      <c r="O1338" s="15"/>
      <c r="P1338" s="6">
        <v>41374.90861111111</v>
      </c>
      <c r="Q1338" s="12"/>
      <c r="R1338" s="18" t="s">
        <v>1003</v>
      </c>
      <c r="S1338" s="12"/>
      <c r="T1338" s="12"/>
      <c r="U1338" s="10" t="str">
        <f>HYPERLINK("https://pbs.twimg.com/profile_images/3503488030/f3fa72449e81ed8eb09fe5df9d6c5afe.jpeg","View")</f>
        <v>View</v>
      </c>
    </row>
    <row r="1339" spans="1:21" ht="40.799999999999997">
      <c r="A1339" s="6">
        <v>43426.969201388885</v>
      </c>
      <c r="B1339" s="7" t="str">
        <f>HYPERLINK("https://twitter.com/Canal_Z_","@Canal_Z_")</f>
        <v>@Canal_Z_</v>
      </c>
      <c r="C1339" s="8" t="s">
        <v>4320</v>
      </c>
      <c r="D1339" s="9" t="s">
        <v>3088</v>
      </c>
      <c r="E1339" s="10" t="str">
        <f>HYPERLINK("https://twitter.com/Canal_Z_/status/1065730555466133506","1065730555466133506")</f>
        <v>1065730555466133506</v>
      </c>
      <c r="F1339" s="11" t="s">
        <v>5211</v>
      </c>
      <c r="G1339" s="11" t="s">
        <v>5212</v>
      </c>
      <c r="H1339" s="12"/>
      <c r="I1339" s="13">
        <v>0</v>
      </c>
      <c r="J1339" s="13">
        <v>0</v>
      </c>
      <c r="K1339" s="14" t="str">
        <f>HYPERLINK("http://twitter.com","Twitter Web Client")</f>
        <v>Twitter Web Client</v>
      </c>
      <c r="L1339" s="13">
        <v>2272</v>
      </c>
      <c r="M1339" s="13">
        <v>4991</v>
      </c>
      <c r="N1339" s="13">
        <v>6</v>
      </c>
      <c r="O1339" s="15"/>
      <c r="P1339" s="6">
        <v>41462.275254629625</v>
      </c>
      <c r="Q1339" s="17" t="s">
        <v>28</v>
      </c>
      <c r="R1339" s="18" t="s">
        <v>4322</v>
      </c>
      <c r="S1339" s="12"/>
      <c r="T1339" s="12"/>
      <c r="U1339" s="10" t="str">
        <f>HYPERLINK("https://pbs.twimg.com/profile_images/1008407123242422272/aENpWjy6.jpg","View")</f>
        <v>View</v>
      </c>
    </row>
    <row r="1340" spans="1:21" ht="30.6">
      <c r="A1340" s="6">
        <v>43426.969143518523</v>
      </c>
      <c r="B1340" s="7" t="str">
        <f>HYPERLINK("https://twitter.com/UnaUltimaHora","@UnaUltimaHora")</f>
        <v>@UnaUltimaHora</v>
      </c>
      <c r="C1340" s="8" t="s">
        <v>5213</v>
      </c>
      <c r="D1340" s="9" t="s">
        <v>5214</v>
      </c>
      <c r="E1340" s="10" t="str">
        <f>HYPERLINK("https://twitter.com/UnaUltimaHora/status/1065730536142970880","1065730536142970880")</f>
        <v>1065730536142970880</v>
      </c>
      <c r="F1340" s="11" t="s">
        <v>233</v>
      </c>
      <c r="G1340" s="11" t="s">
        <v>5215</v>
      </c>
      <c r="H1340" s="12"/>
      <c r="I1340" s="13">
        <v>0</v>
      </c>
      <c r="J1340" s="13">
        <v>0</v>
      </c>
      <c r="K1340" s="14" t="str">
        <f>HYPERLINK("https://ifttt.com","IFTTT")</f>
        <v>IFTTT</v>
      </c>
      <c r="L1340" s="13">
        <v>291</v>
      </c>
      <c r="M1340" s="13">
        <v>6</v>
      </c>
      <c r="N1340" s="13">
        <v>3</v>
      </c>
      <c r="O1340" s="15"/>
      <c r="P1340" s="6">
        <v>39683.0471875</v>
      </c>
      <c r="Q1340" s="17" t="s">
        <v>5216</v>
      </c>
      <c r="R1340" s="18" t="s">
        <v>5217</v>
      </c>
      <c r="S1340" s="11" t="s">
        <v>5218</v>
      </c>
      <c r="T1340" s="12"/>
      <c r="U1340" s="10" t="str">
        <f>HYPERLINK("https://pbs.twimg.com/profile_images/1030480472466501632/I0LvhuqA.jpg","View")</f>
        <v>View</v>
      </c>
    </row>
    <row r="1341" spans="1:21" ht="30.6">
      <c r="A1341" s="6">
        <v>43426.969074074077</v>
      </c>
      <c r="B1341" s="7" t="str">
        <f>HYPERLINK("https://twitter.com/ciudacain","@ciudacain")</f>
        <v>@ciudacain</v>
      </c>
      <c r="C1341" s="8" t="s">
        <v>5219</v>
      </c>
      <c r="D1341" s="9" t="s">
        <v>5220</v>
      </c>
      <c r="E1341" s="10" t="str">
        <f>HYPERLINK("https://twitter.com/ciudacain/status/1065730509915983873","1065730509915983873")</f>
        <v>1065730509915983873</v>
      </c>
      <c r="F1341" s="12"/>
      <c r="G1341" s="12"/>
      <c r="H1341" s="12"/>
      <c r="I1341" s="13">
        <v>0</v>
      </c>
      <c r="J1341" s="13">
        <v>2</v>
      </c>
      <c r="K1341" s="14" t="str">
        <f>HYPERLINK("https://mobile.twitter.com","Twitter Lite")</f>
        <v>Twitter Lite</v>
      </c>
      <c r="L1341" s="13">
        <v>1507</v>
      </c>
      <c r="M1341" s="13">
        <v>589</v>
      </c>
      <c r="N1341" s="13">
        <v>13</v>
      </c>
      <c r="O1341" s="15"/>
      <c r="P1341" s="6">
        <v>42279.606342592597</v>
      </c>
      <c r="Q1341" s="17" t="s">
        <v>5221</v>
      </c>
      <c r="R1341" s="18" t="s">
        <v>5222</v>
      </c>
      <c r="S1341" s="11" t="s">
        <v>5223</v>
      </c>
      <c r="T1341" s="12"/>
      <c r="U1341" s="10" t="str">
        <f>HYPERLINK("https://pbs.twimg.com/profile_images/1044571040574296069/wxRr0zsb.jpg","View")</f>
        <v>View</v>
      </c>
    </row>
    <row r="1342" spans="1:21" ht="30.6">
      <c r="A1342" s="6">
        <v>43426.96875</v>
      </c>
      <c r="B1342" s="7" t="str">
        <f>HYPERLINK("https://twitter.com/LateMotivCero","@LateMotivCero")</f>
        <v>@LateMotivCero</v>
      </c>
      <c r="C1342" s="8" t="s">
        <v>5224</v>
      </c>
      <c r="D1342" s="9" t="s">
        <v>5225</v>
      </c>
      <c r="E1342" s="10" t="str">
        <f>HYPERLINK("https://twitter.com/LateMotivCero/status/1065730391754108928","1065730391754108928")</f>
        <v>1065730391754108928</v>
      </c>
      <c r="F1342" s="12"/>
      <c r="G1342" s="11" t="s">
        <v>5226</v>
      </c>
      <c r="H1342" s="12"/>
      <c r="I1342" s="13">
        <v>14</v>
      </c>
      <c r="J1342" s="13">
        <v>53</v>
      </c>
      <c r="K1342" s="14" t="str">
        <f>HYPERLINK("https://studio.twitter.com","Media Studio")</f>
        <v>Media Studio</v>
      </c>
      <c r="L1342" s="13">
        <v>535561</v>
      </c>
      <c r="M1342" s="13">
        <v>1245</v>
      </c>
      <c r="N1342" s="13">
        <v>2618</v>
      </c>
      <c r="O1342" s="16" t="s">
        <v>26</v>
      </c>
      <c r="P1342" s="6">
        <v>39727.468055555553</v>
      </c>
      <c r="Q1342" s="17" t="s">
        <v>72</v>
      </c>
      <c r="R1342" s="27" t="s">
        <v>5227</v>
      </c>
      <c r="S1342" s="11" t="s">
        <v>5228</v>
      </c>
      <c r="T1342" s="12"/>
      <c r="U1342" s="10" t="str">
        <f>HYPERLINK("https://pbs.twimg.com/profile_images/994249124114558981/D0XEYQkZ.jpg","View")</f>
        <v>View</v>
      </c>
    </row>
    <row r="1343" spans="1:21" ht="40.799999999999997">
      <c r="A1343" s="6">
        <v>43426.968715277777</v>
      </c>
      <c r="B1343" s="7" t="str">
        <f>HYPERLINK("https://twitter.com/RTultimahora","@RTultimahora")</f>
        <v>@RTultimahora</v>
      </c>
      <c r="C1343" s="8" t="s">
        <v>5229</v>
      </c>
      <c r="D1343" s="9" t="s">
        <v>5214</v>
      </c>
      <c r="E1343" s="10" t="str">
        <f>HYPERLINK("https://twitter.com/RTultimahora/status/1065730381440344064","1065730381440344064")</f>
        <v>1065730381440344064</v>
      </c>
      <c r="F1343" s="11" t="s">
        <v>233</v>
      </c>
      <c r="G1343" s="11" t="s">
        <v>5230</v>
      </c>
      <c r="H1343" s="12"/>
      <c r="I1343" s="13">
        <v>19</v>
      </c>
      <c r="J1343" s="13">
        <v>30</v>
      </c>
      <c r="K1343" s="14" t="str">
        <f>HYPERLINK("https://about.twitter.com/products/tweetdeck","TweetDeck")</f>
        <v>TweetDeck</v>
      </c>
      <c r="L1343" s="13">
        <v>25643</v>
      </c>
      <c r="M1343" s="13">
        <v>1</v>
      </c>
      <c r="N1343" s="13">
        <v>212</v>
      </c>
      <c r="O1343" s="15"/>
      <c r="P1343" s="6">
        <v>43140.521944444445</v>
      </c>
      <c r="Q1343" s="17" t="s">
        <v>4115</v>
      </c>
      <c r="R1343" s="18" t="s">
        <v>5231</v>
      </c>
      <c r="S1343" s="11" t="s">
        <v>5232</v>
      </c>
      <c r="T1343" s="12"/>
      <c r="U1343" s="10" t="str">
        <f>HYPERLINK("https://pbs.twimg.com/profile_images/963370175117647872/7DHcV-sG.jpg","View")</f>
        <v>View</v>
      </c>
    </row>
    <row r="1344" spans="1:21" ht="30.6">
      <c r="A1344" s="6">
        <v>43426.968715277777</v>
      </c>
      <c r="B1344" s="7" t="str">
        <f>HYPERLINK("https://twitter.com/yebano","@yebano")</f>
        <v>@yebano</v>
      </c>
      <c r="C1344" s="8" t="s">
        <v>5233</v>
      </c>
      <c r="D1344" s="9" t="s">
        <v>4377</v>
      </c>
      <c r="E1344" s="10" t="str">
        <f>HYPERLINK("https://twitter.com/yebano/status/1065730378499940353","1065730378499940353")</f>
        <v>1065730378499940353</v>
      </c>
      <c r="F1344" s="11" t="s">
        <v>5234</v>
      </c>
      <c r="G1344" s="11" t="s">
        <v>5235</v>
      </c>
      <c r="H1344" s="12"/>
      <c r="I1344" s="13">
        <v>0</v>
      </c>
      <c r="J1344" s="13">
        <v>0</v>
      </c>
      <c r="K1344" s="14" t="str">
        <f>HYPERLINK("https://dlvrit.com/","dlvr.it")</f>
        <v>dlvr.it</v>
      </c>
      <c r="L1344" s="13">
        <v>137</v>
      </c>
      <c r="M1344" s="13">
        <v>287</v>
      </c>
      <c r="N1344" s="13">
        <v>9</v>
      </c>
      <c r="O1344" s="15"/>
      <c r="P1344" s="6">
        <v>40844.810127314813</v>
      </c>
      <c r="Q1344" s="12"/>
      <c r="R1344" s="18" t="s">
        <v>5236</v>
      </c>
      <c r="S1344" s="12"/>
      <c r="T1344" s="12"/>
      <c r="U1344" s="10" t="str">
        <f>HYPERLINK("https://pbs.twimg.com/profile_images/1848346463/7r926s.htm","View")</f>
        <v>View</v>
      </c>
    </row>
    <row r="1345" spans="1:21" ht="51">
      <c r="A1345" s="6">
        <v>43426.968553240746</v>
      </c>
      <c r="B1345" s="7" t="str">
        <f>HYPERLINK("https://twitter.com/PeGeCe72","@PeGeCe72")</f>
        <v>@PeGeCe72</v>
      </c>
      <c r="C1345" s="8" t="s">
        <v>5237</v>
      </c>
      <c r="D1345" s="9" t="s">
        <v>5238</v>
      </c>
      <c r="E1345" s="10" t="str">
        <f>HYPERLINK("https://twitter.com/PeGeCe72/status/1065730319884660741","1065730319884660741")</f>
        <v>1065730319884660741</v>
      </c>
      <c r="F1345" s="12"/>
      <c r="G1345" s="11" t="s">
        <v>5239</v>
      </c>
      <c r="H1345" s="12"/>
      <c r="I1345" s="13">
        <v>1</v>
      </c>
      <c r="J1345" s="13">
        <v>0</v>
      </c>
      <c r="K1345" s="14" t="str">
        <f t="shared" ref="K1345:K1346" si="212">HYPERLINK("http://twitter.com","Twitter Web Client")</f>
        <v>Twitter Web Client</v>
      </c>
      <c r="L1345" s="13">
        <v>128</v>
      </c>
      <c r="M1345" s="13">
        <v>170</v>
      </c>
      <c r="N1345" s="13">
        <v>0</v>
      </c>
      <c r="O1345" s="15"/>
      <c r="P1345" s="6">
        <v>43367.735046296293</v>
      </c>
      <c r="Q1345" s="12"/>
      <c r="R1345" s="18" t="s">
        <v>5240</v>
      </c>
      <c r="S1345" s="12"/>
      <c r="T1345" s="12"/>
      <c r="U1345" s="10" t="str">
        <f>HYPERLINK("https://pbs.twimg.com/profile_images/1057766246886850560/3F7nc7cK.jpg","View")</f>
        <v>View</v>
      </c>
    </row>
    <row r="1346" spans="1:21" ht="51">
      <c r="A1346" s="6">
        <v>43426.9684375</v>
      </c>
      <c r="B1346" s="7" t="str">
        <f>HYPERLINK("https://twitter.com/europapress","@europapress")</f>
        <v>@europapress</v>
      </c>
      <c r="C1346" s="8" t="s">
        <v>1028</v>
      </c>
      <c r="D1346" s="9" t="s">
        <v>1975</v>
      </c>
      <c r="E1346" s="10" t="str">
        <f>HYPERLINK("https://twitter.com/europapress/status/1065730280370159616","1065730280370159616")</f>
        <v>1065730280370159616</v>
      </c>
      <c r="F1346" s="11" t="s">
        <v>4736</v>
      </c>
      <c r="G1346" s="11" t="s">
        <v>5241</v>
      </c>
      <c r="H1346" s="12"/>
      <c r="I1346" s="13">
        <v>7</v>
      </c>
      <c r="J1346" s="13">
        <v>11</v>
      </c>
      <c r="K1346" s="14" t="str">
        <f t="shared" si="212"/>
        <v>Twitter Web Client</v>
      </c>
      <c r="L1346" s="13">
        <v>1096008</v>
      </c>
      <c r="M1346" s="13">
        <v>1100</v>
      </c>
      <c r="N1346" s="13">
        <v>13723</v>
      </c>
      <c r="O1346" s="16" t="s">
        <v>26</v>
      </c>
      <c r="P1346" s="6">
        <v>40246.461956018517</v>
      </c>
      <c r="Q1346" s="12"/>
      <c r="R1346" s="18" t="s">
        <v>5242</v>
      </c>
      <c r="S1346" s="11" t="s">
        <v>5243</v>
      </c>
      <c r="T1346" s="12"/>
      <c r="U1346" s="10" t="str">
        <f>HYPERLINK("https://pbs.twimg.com/profile_images/876740155473788928/4V7ewUTC.jpg","View")</f>
        <v>View</v>
      </c>
    </row>
    <row r="1347" spans="1:21" ht="40.799999999999997">
      <c r="A1347" s="6">
        <v>43426.967719907407</v>
      </c>
      <c r="B1347" s="7" t="str">
        <f>HYPERLINK("https://twitter.com/peruenlanoticia","@peruenlanoticia")</f>
        <v>@peruenlanoticia</v>
      </c>
      <c r="C1347" s="8" t="s">
        <v>4627</v>
      </c>
      <c r="D1347" s="9" t="s">
        <v>5244</v>
      </c>
      <c r="E1347" s="10" t="str">
        <f>HYPERLINK("https://twitter.com/peruenlanoticia/status/1065730019836784640","1065730019836784640")</f>
        <v>1065730019836784640</v>
      </c>
      <c r="F1347" s="11" t="s">
        <v>5245</v>
      </c>
      <c r="G1347" s="11" t="s">
        <v>5246</v>
      </c>
      <c r="H1347" s="12"/>
      <c r="I1347" s="13">
        <v>1</v>
      </c>
      <c r="J1347" s="13">
        <v>1</v>
      </c>
      <c r="K1347" s="14" t="str">
        <f>HYPERLINK("https://www.hootsuite.com","Hootsuite Inc.")</f>
        <v>Hootsuite Inc.</v>
      </c>
      <c r="L1347" s="13">
        <v>56172</v>
      </c>
      <c r="M1347" s="13">
        <v>15359</v>
      </c>
      <c r="N1347" s="13">
        <v>291</v>
      </c>
      <c r="O1347" s="15"/>
      <c r="P1347" s="6">
        <v>41687.802361111113</v>
      </c>
      <c r="Q1347" s="17" t="s">
        <v>4631</v>
      </c>
      <c r="R1347" s="18" t="s">
        <v>4632</v>
      </c>
      <c r="S1347" s="11" t="s">
        <v>4633</v>
      </c>
      <c r="T1347" s="12"/>
      <c r="U1347" s="10" t="str">
        <f>HYPERLINK("https://pbs.twimg.com/profile_images/691305478710759424/_9CWYoQJ.jpg","View")</f>
        <v>View</v>
      </c>
    </row>
    <row r="1348" spans="1:21" ht="51">
      <c r="A1348" s="6">
        <v>43426.967442129629</v>
      </c>
      <c r="B1348" s="7" t="str">
        <f>HYPERLINK("https://twitter.com/Historia1943","@Historia1943")</f>
        <v>@Historia1943</v>
      </c>
      <c r="C1348" s="8" t="s">
        <v>5247</v>
      </c>
      <c r="D1348" s="9" t="s">
        <v>5248</v>
      </c>
      <c r="E1348" s="10" t="str">
        <f>HYPERLINK("https://twitter.com/Historia1943/status/1065729917470556161","1065729917470556161")</f>
        <v>1065729917470556161</v>
      </c>
      <c r="F1348" s="12"/>
      <c r="G1348" s="12"/>
      <c r="H1348" s="12"/>
      <c r="I1348" s="13">
        <v>0</v>
      </c>
      <c r="J1348" s="13">
        <v>0</v>
      </c>
      <c r="K1348" s="14" t="str">
        <f>HYPERLINK("http://twitter.com/download/android","Twitter for Android")</f>
        <v>Twitter for Android</v>
      </c>
      <c r="L1348" s="13">
        <v>856</v>
      </c>
      <c r="M1348" s="13">
        <v>1511</v>
      </c>
      <c r="N1348" s="13">
        <v>21</v>
      </c>
      <c r="O1348" s="15"/>
      <c r="P1348" s="6">
        <v>40803.598645833335</v>
      </c>
      <c r="Q1348" s="12"/>
      <c r="R1348" s="18" t="s">
        <v>5249</v>
      </c>
      <c r="S1348" s="11" t="s">
        <v>5250</v>
      </c>
      <c r="T1348" s="12"/>
      <c r="U1348" s="10" t="str">
        <f>HYPERLINK("https://pbs.twimg.com/profile_images/344513261578964879/b4e6713e4ddb0b4cdc30c072508887bf.jpeg","View")</f>
        <v>View</v>
      </c>
    </row>
    <row r="1349" spans="1:21" ht="20.399999999999999">
      <c r="A1349" s="6">
        <v>43426.967407407406</v>
      </c>
      <c r="B1349" s="7" t="str">
        <f>HYPERLINK("https://twitter.com/CristoFeliz1","@CristoFeliz1")</f>
        <v>@CristoFeliz1</v>
      </c>
      <c r="C1349" s="8" t="s">
        <v>4838</v>
      </c>
      <c r="D1349" s="9" t="s">
        <v>3088</v>
      </c>
      <c r="E1349" s="10" t="str">
        <f>HYPERLINK("https://twitter.com/CristoFeliz1/status/1065729906330361856","1065729906330361856")</f>
        <v>1065729906330361856</v>
      </c>
      <c r="F1349" s="11" t="s">
        <v>5251</v>
      </c>
      <c r="G1349" s="11" t="s">
        <v>5252</v>
      </c>
      <c r="H1349" s="12"/>
      <c r="I1349" s="13">
        <v>0</v>
      </c>
      <c r="J1349" s="13">
        <v>0</v>
      </c>
      <c r="K1349" s="14" t="str">
        <f>HYPERLINK("https://dlvrit.com/","dlvr.it")</f>
        <v>dlvr.it</v>
      </c>
      <c r="L1349" s="13">
        <v>7046</v>
      </c>
      <c r="M1349" s="13">
        <v>7743</v>
      </c>
      <c r="N1349" s="13">
        <v>561</v>
      </c>
      <c r="O1349" s="15"/>
      <c r="P1349" s="6">
        <v>41186.866469907407</v>
      </c>
      <c r="Q1349" s="17" t="s">
        <v>1354</v>
      </c>
      <c r="R1349" s="18" t="s">
        <v>4841</v>
      </c>
      <c r="S1349" s="12"/>
      <c r="T1349" s="12"/>
      <c r="U1349" s="10" t="str">
        <f>HYPERLINK("https://pbs.twimg.com/profile_images/1002564938911703040/1Wvxy6Jm.jpg","View")</f>
        <v>View</v>
      </c>
    </row>
    <row r="1350" spans="1:21" ht="30.6">
      <c r="A1350" s="6">
        <v>43426.96674768519</v>
      </c>
      <c r="B1350" s="7" t="str">
        <f>HYPERLINK("https://twitter.com/EFEnoticias","@EFEnoticias")</f>
        <v>@EFEnoticias</v>
      </c>
      <c r="C1350" s="8" t="s">
        <v>3646</v>
      </c>
      <c r="D1350" s="9" t="s">
        <v>5253</v>
      </c>
      <c r="E1350" s="10" t="str">
        <f>HYPERLINK("https://twitter.com/EFEnoticias/status/1065729668324777985","1065729668324777985")</f>
        <v>1065729668324777985</v>
      </c>
      <c r="F1350" s="11" t="s">
        <v>5254</v>
      </c>
      <c r="G1350" s="12"/>
      <c r="H1350" s="12"/>
      <c r="I1350" s="13">
        <v>11</v>
      </c>
      <c r="J1350" s="13">
        <v>8</v>
      </c>
      <c r="K1350" s="14" t="str">
        <f>HYPERLINK("https://about.twitter.com/products/tweetdeck","TweetDeck")</f>
        <v>TweetDeck</v>
      </c>
      <c r="L1350" s="13">
        <v>1426640</v>
      </c>
      <c r="M1350" s="13">
        <v>63</v>
      </c>
      <c r="N1350" s="13">
        <v>16766</v>
      </c>
      <c r="O1350" s="16" t="s">
        <v>26</v>
      </c>
      <c r="P1350" s="6">
        <v>40193.420092592591</v>
      </c>
      <c r="Q1350" s="17" t="s">
        <v>72</v>
      </c>
      <c r="R1350" s="18" t="s">
        <v>3647</v>
      </c>
      <c r="S1350" s="11" t="s">
        <v>2447</v>
      </c>
      <c r="T1350" s="12"/>
      <c r="U1350" s="10" t="str">
        <f>HYPERLINK("https://pbs.twimg.com/profile_images/930868073464320000/r4PAby_1.jpg","View")</f>
        <v>View</v>
      </c>
    </row>
    <row r="1351" spans="1:21" ht="13.2">
      <c r="A1351" s="6">
        <v>43426.966249999998</v>
      </c>
      <c r="B1351" s="7" t="str">
        <f>HYPERLINK("https://twitter.com/condegallego","@condegallego")</f>
        <v>@condegallego</v>
      </c>
      <c r="C1351" s="8" t="s">
        <v>5255</v>
      </c>
      <c r="D1351" s="9" t="s">
        <v>5256</v>
      </c>
      <c r="E1351" s="10" t="str">
        <f>HYPERLINK("https://twitter.com/condegallego/status/1065729485440471041","1065729485440471041")</f>
        <v>1065729485440471041</v>
      </c>
      <c r="F1351" s="11" t="s">
        <v>5257</v>
      </c>
      <c r="G1351" s="12"/>
      <c r="H1351" s="12"/>
      <c r="I1351" s="13">
        <v>0</v>
      </c>
      <c r="J1351" s="13">
        <v>0</v>
      </c>
      <c r="K1351" s="14" t="str">
        <f>HYPERLINK("http://twitter.com/download/android","Twitter for Android")</f>
        <v>Twitter for Android</v>
      </c>
      <c r="L1351" s="13">
        <v>36</v>
      </c>
      <c r="M1351" s="13">
        <v>176</v>
      </c>
      <c r="N1351" s="13">
        <v>0</v>
      </c>
      <c r="O1351" s="15"/>
      <c r="P1351" s="6">
        <v>41331.741643518515</v>
      </c>
      <c r="Q1351" s="17" t="s">
        <v>878</v>
      </c>
      <c r="R1351" s="19"/>
      <c r="S1351" s="12"/>
      <c r="T1351" s="12"/>
      <c r="U1351" s="10" t="str">
        <f>HYPERLINK("https://pbs.twimg.com/profile_images/736619435285467136/LSzfCU1r.jpg","View")</f>
        <v>View</v>
      </c>
    </row>
    <row r="1352" spans="1:21" ht="61.2">
      <c r="A1352" s="6">
        <v>43426.965486111112</v>
      </c>
      <c r="B1352" s="7" t="str">
        <f>HYPERLINK("https://twitter.com/Carlos8183","@Carlos8183")</f>
        <v>@Carlos8183</v>
      </c>
      <c r="C1352" s="8" t="s">
        <v>5258</v>
      </c>
      <c r="D1352" s="9" t="s">
        <v>5259</v>
      </c>
      <c r="E1352" s="10" t="str">
        <f>HYPERLINK("https://twitter.com/Carlos8183/status/1065729208209600513","1065729208209600513")</f>
        <v>1065729208209600513</v>
      </c>
      <c r="F1352" s="12"/>
      <c r="G1352" s="12"/>
      <c r="H1352" s="12"/>
      <c r="I1352" s="13">
        <v>0</v>
      </c>
      <c r="J1352" s="13">
        <v>1</v>
      </c>
      <c r="K1352" s="14" t="str">
        <f>HYPERLINK("http://twitter.com","Twitter Web Client")</f>
        <v>Twitter Web Client</v>
      </c>
      <c r="L1352" s="13">
        <v>74</v>
      </c>
      <c r="M1352" s="13">
        <v>137</v>
      </c>
      <c r="N1352" s="13">
        <v>0</v>
      </c>
      <c r="O1352" s="15"/>
      <c r="P1352" s="6">
        <v>41424.88553240741</v>
      </c>
      <c r="Q1352" s="12"/>
      <c r="R1352" s="18" t="s">
        <v>5260</v>
      </c>
      <c r="S1352" s="12"/>
      <c r="T1352" s="12"/>
      <c r="U1352" s="10" t="str">
        <f>HYPERLINK("https://pbs.twimg.com/profile_images/441954444750487552/1aIVk-zW.jpeg","View")</f>
        <v>View</v>
      </c>
    </row>
    <row r="1353" spans="1:21" ht="30.6">
      <c r="A1353" s="6">
        <v>43426.964687500003</v>
      </c>
      <c r="B1353" s="7" t="str">
        <f>HYPERLINK("https://twitter.com/NotiNewsMiami","@NotiNewsMiami")</f>
        <v>@NotiNewsMiami</v>
      </c>
      <c r="C1353" s="8" t="s">
        <v>5261</v>
      </c>
      <c r="D1353" s="9" t="s">
        <v>5262</v>
      </c>
      <c r="E1353" s="10" t="str">
        <f>HYPERLINK("https://twitter.com/NotiNewsMiami/status/1065728919586914310","1065728919586914310")</f>
        <v>1065728919586914310</v>
      </c>
      <c r="F1353" s="11" t="s">
        <v>5263</v>
      </c>
      <c r="G1353" s="12"/>
      <c r="H1353" s="12"/>
      <c r="I1353" s="13">
        <v>2</v>
      </c>
      <c r="J1353" s="13">
        <v>0</v>
      </c>
      <c r="K1353" s="14" t="str">
        <f>HYPERLINK("https://buffer.com","Buffer")</f>
        <v>Buffer</v>
      </c>
      <c r="L1353" s="13">
        <v>133499</v>
      </c>
      <c r="M1353" s="13">
        <v>9477</v>
      </c>
      <c r="N1353" s="13">
        <v>448</v>
      </c>
      <c r="O1353" s="15"/>
      <c r="P1353" s="6">
        <v>41688.329629629632</v>
      </c>
      <c r="Q1353" s="17" t="s">
        <v>3997</v>
      </c>
      <c r="R1353" s="18" t="s">
        <v>5264</v>
      </c>
      <c r="S1353" s="11" t="s">
        <v>5265</v>
      </c>
      <c r="T1353" s="12"/>
      <c r="U1353" s="10" t="str">
        <f>HYPERLINK("https://pbs.twimg.com/profile_images/1017913224887521280/xOqi1TRb.jpg","View")</f>
        <v>View</v>
      </c>
    </row>
    <row r="1354" spans="1:21" ht="40.799999999999997">
      <c r="A1354" s="6">
        <v>43426.964120370365</v>
      </c>
      <c r="B1354" s="7" t="str">
        <f>HYPERLINK("https://twitter.com/barnazen","@barnazen")</f>
        <v>@barnazen</v>
      </c>
      <c r="C1354" s="8" t="s">
        <v>5266</v>
      </c>
      <c r="D1354" s="9" t="s">
        <v>5267</v>
      </c>
      <c r="E1354" s="10" t="str">
        <f>HYPERLINK("https://twitter.com/barnazen/status/1065728713206190081","1065728713206190081")</f>
        <v>1065728713206190081</v>
      </c>
      <c r="F1354" s="17" t="s">
        <v>5268</v>
      </c>
      <c r="G1354" s="12"/>
      <c r="H1354" s="12"/>
      <c r="I1354" s="13">
        <v>0</v>
      </c>
      <c r="J1354" s="13">
        <v>1</v>
      </c>
      <c r="K1354" s="14" t="str">
        <f t="shared" ref="K1354:K1355" si="213">HYPERLINK("http://twitter.com","Twitter Web Client")</f>
        <v>Twitter Web Client</v>
      </c>
      <c r="L1354" s="13">
        <v>2221</v>
      </c>
      <c r="M1354" s="13">
        <v>2184</v>
      </c>
      <c r="N1354" s="13">
        <v>34</v>
      </c>
      <c r="O1354" s="15"/>
      <c r="P1354" s="6">
        <v>41109.456284722226</v>
      </c>
      <c r="Q1354" s="17" t="s">
        <v>5269</v>
      </c>
      <c r="R1354" s="18" t="s">
        <v>5270</v>
      </c>
      <c r="S1354" s="12"/>
      <c r="T1354" s="12"/>
      <c r="U1354" s="10" t="str">
        <f>HYPERLINK("https://pbs.twimg.com/profile_images/1047477758769713155/8C3BOwT3.jpg","View")</f>
        <v>View</v>
      </c>
    </row>
    <row r="1355" spans="1:21" ht="30.6">
      <c r="A1355" s="6">
        <v>43426.963865740741</v>
      </c>
      <c r="B1355" s="7" t="str">
        <f>HYPERLINK("https://twitter.com/CachitoDeVida","@CachitoDeVida")</f>
        <v>@CachitoDeVida</v>
      </c>
      <c r="C1355" s="8" t="s">
        <v>2772</v>
      </c>
      <c r="D1355" s="9" t="s">
        <v>5271</v>
      </c>
      <c r="E1355" s="10" t="str">
        <f>HYPERLINK("https://twitter.com/CachitoDeVida/status/1065728623167049728","1065728623167049728")</f>
        <v>1065728623167049728</v>
      </c>
      <c r="F1355" s="12"/>
      <c r="G1355" s="11" t="s">
        <v>5272</v>
      </c>
      <c r="H1355" s="12"/>
      <c r="I1355" s="13">
        <v>2</v>
      </c>
      <c r="J1355" s="13">
        <v>1</v>
      </c>
      <c r="K1355" s="14" t="str">
        <f t="shared" si="213"/>
        <v>Twitter Web Client</v>
      </c>
      <c r="L1355" s="13">
        <v>624</v>
      </c>
      <c r="M1355" s="13">
        <v>614</v>
      </c>
      <c r="N1355" s="13">
        <v>1</v>
      </c>
      <c r="O1355" s="15"/>
      <c r="P1355" s="6">
        <v>43285.535567129627</v>
      </c>
      <c r="Q1355" s="17" t="s">
        <v>392</v>
      </c>
      <c r="R1355" s="18" t="s">
        <v>2774</v>
      </c>
      <c r="S1355" s="12"/>
      <c r="T1355" s="12"/>
      <c r="U1355" s="10" t="str">
        <f>HYPERLINK("https://pbs.twimg.com/profile_images/1014462854794301440/VRdY7EOu.jpg","View")</f>
        <v>View</v>
      </c>
    </row>
    <row r="1356" spans="1:21" ht="30.6">
      <c r="A1356" s="6">
        <v>43426.963576388887</v>
      </c>
      <c r="B1356" s="7" t="str">
        <f>HYPERLINK("https://twitter.com/josepbobe","@josepbobe")</f>
        <v>@josepbobe</v>
      </c>
      <c r="C1356" s="8" t="s">
        <v>5273</v>
      </c>
      <c r="D1356" s="9" t="s">
        <v>5274</v>
      </c>
      <c r="E1356" s="10" t="str">
        <f>HYPERLINK("https://twitter.com/josepbobe/status/1065728516417822720","1065728516417822720")</f>
        <v>1065728516417822720</v>
      </c>
      <c r="F1356" s="11" t="s">
        <v>479</v>
      </c>
      <c r="G1356" s="12"/>
      <c r="H1356" s="12"/>
      <c r="I1356" s="13">
        <v>0</v>
      </c>
      <c r="J1356" s="13">
        <v>1</v>
      </c>
      <c r="K1356" s="14" t="str">
        <f>HYPERLINK("http://twitter.com/download/iphone","Twitter for iPhone")</f>
        <v>Twitter for iPhone</v>
      </c>
      <c r="L1356" s="13">
        <v>4131</v>
      </c>
      <c r="M1356" s="13">
        <v>563</v>
      </c>
      <c r="N1356" s="13">
        <v>109</v>
      </c>
      <c r="O1356" s="15"/>
      <c r="P1356" s="6">
        <v>40845.42627314815</v>
      </c>
      <c r="Q1356" s="17" t="s">
        <v>5275</v>
      </c>
      <c r="R1356" s="18" t="s">
        <v>5276</v>
      </c>
      <c r="S1356" s="11" t="s">
        <v>5277</v>
      </c>
      <c r="T1356" s="12"/>
      <c r="U1356" s="10" t="str">
        <f>HYPERLINK("https://pbs.twimg.com/profile_images/1021294590916165632/oE72bnjO.jpg","View")</f>
        <v>View</v>
      </c>
    </row>
    <row r="1357" spans="1:21" ht="40.799999999999997">
      <c r="A1357" s="6">
        <v>43426.963518518518</v>
      </c>
      <c r="B1357" s="7" t="str">
        <f>HYPERLINK("https://twitter.com/VeoInfo_","@VeoInfo_")</f>
        <v>@VeoInfo_</v>
      </c>
      <c r="C1357" s="8" t="s">
        <v>456</v>
      </c>
      <c r="D1357" s="9" t="s">
        <v>5278</v>
      </c>
      <c r="E1357" s="10" t="str">
        <f>HYPERLINK("https://twitter.com/VeoInfo_/status/1065728497228922881","1065728497228922881")</f>
        <v>1065728497228922881</v>
      </c>
      <c r="F1357" s="11" t="s">
        <v>5279</v>
      </c>
      <c r="G1357" s="11" t="s">
        <v>5280</v>
      </c>
      <c r="H1357" s="12"/>
      <c r="I1357" s="13">
        <v>0</v>
      </c>
      <c r="J1357" s="13">
        <v>0</v>
      </c>
      <c r="K1357" s="14" t="str">
        <f>HYPERLINK("http://publicize.wp.com/","WordPress.com")</f>
        <v>WordPress.com</v>
      </c>
      <c r="L1357" s="13">
        <v>1135</v>
      </c>
      <c r="M1357" s="13">
        <v>1139</v>
      </c>
      <c r="N1357" s="13">
        <v>36</v>
      </c>
      <c r="O1357" s="15"/>
      <c r="P1357" s="6">
        <v>41881.101840277777</v>
      </c>
      <c r="Q1357" s="17" t="s">
        <v>459</v>
      </c>
      <c r="R1357" s="18" t="s">
        <v>460</v>
      </c>
      <c r="S1357" s="11" t="s">
        <v>461</v>
      </c>
      <c r="T1357" s="12"/>
      <c r="U1357" s="10" t="str">
        <f>HYPERLINK("https://pbs.twimg.com/profile_images/601509372305485827/Val0dfGy.png","View")</f>
        <v>View</v>
      </c>
    </row>
    <row r="1358" spans="1:21" ht="51">
      <c r="A1358" s="6">
        <v>43426.963368055556</v>
      </c>
      <c r="B1358" s="7" t="str">
        <f>HYPERLINK("https://twitter.com/elgrillohispano","@elgrillohispano")</f>
        <v>@elgrillohispano</v>
      </c>
      <c r="C1358" s="8" t="s">
        <v>4941</v>
      </c>
      <c r="D1358" s="9" t="s">
        <v>5281</v>
      </c>
      <c r="E1358" s="10" t="str">
        <f>HYPERLINK("https://twitter.com/elgrillohispano/status/1065728441079738373","1065728441079738373")</f>
        <v>1065728441079738373</v>
      </c>
      <c r="F1358" s="11" t="s">
        <v>5282</v>
      </c>
      <c r="G1358" s="11" t="s">
        <v>5283</v>
      </c>
      <c r="H1358" s="12"/>
      <c r="I1358" s="13">
        <v>0</v>
      </c>
      <c r="J1358" s="13">
        <v>0</v>
      </c>
      <c r="K1358" s="14" t="str">
        <f t="shared" ref="K1358:K1359" si="214">HYPERLINK("http://twitter.com","Twitter Web Client")</f>
        <v>Twitter Web Client</v>
      </c>
      <c r="L1358" s="13">
        <v>753</v>
      </c>
      <c r="M1358" s="13">
        <v>1122</v>
      </c>
      <c r="N1358" s="13">
        <v>20</v>
      </c>
      <c r="O1358" s="15"/>
      <c r="P1358" s="6">
        <v>40837.094050925924</v>
      </c>
      <c r="Q1358" s="17" t="s">
        <v>4943</v>
      </c>
      <c r="R1358" s="18" t="s">
        <v>4944</v>
      </c>
      <c r="S1358" s="12"/>
      <c r="T1358" s="12"/>
      <c r="U1358" s="10" t="str">
        <f>HYPERLINK("https://pbs.twimg.com/profile_images/476705551909265408/6lNjULWd.jpeg","View")</f>
        <v>View</v>
      </c>
    </row>
    <row r="1359" spans="1:21" ht="51">
      <c r="A1359" s="6">
        <v>43426.963263888887</v>
      </c>
      <c r="B1359" s="7" t="str">
        <f>HYPERLINK("https://twitter.com/AlbertOfPuppets","@AlbertOfPuppets")</f>
        <v>@AlbertOfPuppets</v>
      </c>
      <c r="C1359" s="8" t="s">
        <v>5284</v>
      </c>
      <c r="D1359" s="9" t="s">
        <v>5285</v>
      </c>
      <c r="E1359" s="10" t="str">
        <f>HYPERLINK("https://twitter.com/AlbertOfPuppets/status/1065728405893771266","1065728405893771266")</f>
        <v>1065728405893771266</v>
      </c>
      <c r="F1359" s="11" t="s">
        <v>120</v>
      </c>
      <c r="G1359" s="12"/>
      <c r="H1359" s="12"/>
      <c r="I1359" s="13">
        <v>0</v>
      </c>
      <c r="J1359" s="13">
        <v>2</v>
      </c>
      <c r="K1359" s="14" t="str">
        <f t="shared" si="214"/>
        <v>Twitter Web Client</v>
      </c>
      <c r="L1359" s="13">
        <v>153</v>
      </c>
      <c r="M1359" s="13">
        <v>256</v>
      </c>
      <c r="N1359" s="13">
        <v>2</v>
      </c>
      <c r="O1359" s="15"/>
      <c r="P1359" s="6">
        <v>41427.542002314818</v>
      </c>
      <c r="Q1359" s="17" t="s">
        <v>5286</v>
      </c>
      <c r="R1359" s="18" t="s">
        <v>5287</v>
      </c>
      <c r="S1359" s="12"/>
      <c r="T1359" s="12"/>
      <c r="U1359" s="10" t="str">
        <f>HYPERLINK("https://pbs.twimg.com/profile_images/994311745979240448/Ij-JajUT.jpg","View")</f>
        <v>View</v>
      </c>
    </row>
    <row r="1360" spans="1:21" ht="30.6">
      <c r="A1360" s="6">
        <v>43426.963101851856</v>
      </c>
      <c r="B1360" s="7" t="str">
        <f>HYPERLINK("https://twitter.com/sedlr_","@sedlr_")</f>
        <v>@sedlr_</v>
      </c>
      <c r="C1360" s="8" t="s">
        <v>2094</v>
      </c>
      <c r="D1360" s="9" t="s">
        <v>5288</v>
      </c>
      <c r="E1360" s="10" t="str">
        <f>HYPERLINK("https://twitter.com/sedlr_/status/1065728346552758278","1065728346552758278")</f>
        <v>1065728346552758278</v>
      </c>
      <c r="F1360" s="12"/>
      <c r="G1360" s="11" t="s">
        <v>5289</v>
      </c>
      <c r="H1360" s="12"/>
      <c r="I1360" s="13">
        <v>4</v>
      </c>
      <c r="J1360" s="13">
        <v>6</v>
      </c>
      <c r="K1360" s="14" t="str">
        <f t="shared" ref="K1360:K1361" si="215">HYPERLINK("http://twitter.com/download/android","Twitter for Android")</f>
        <v>Twitter for Android</v>
      </c>
      <c r="L1360" s="13">
        <v>7672</v>
      </c>
      <c r="M1360" s="13">
        <v>7330</v>
      </c>
      <c r="N1360" s="13">
        <v>33</v>
      </c>
      <c r="O1360" s="15"/>
      <c r="P1360" s="6">
        <v>41250.693912037037</v>
      </c>
      <c r="Q1360" s="17" t="s">
        <v>2097</v>
      </c>
      <c r="R1360" s="19"/>
      <c r="S1360" s="12"/>
      <c r="T1360" s="12"/>
      <c r="U1360" s="10" t="str">
        <f>HYPERLINK("https://pbs.twimg.com/profile_images/1026984752270782464/dquFa8_K.jpg","View")</f>
        <v>View</v>
      </c>
    </row>
    <row r="1361" spans="1:21" ht="20.399999999999999">
      <c r="A1361" s="6">
        <v>43426.962754629625</v>
      </c>
      <c r="B1361" s="7" t="str">
        <f>HYPERLINK("https://twitter.com/Alex_Garcia_85","@Alex_Garcia_85")</f>
        <v>@Alex_Garcia_85</v>
      </c>
      <c r="C1361" s="8" t="s">
        <v>5290</v>
      </c>
      <c r="D1361" s="9" t="s">
        <v>5291</v>
      </c>
      <c r="E1361" s="10" t="str">
        <f>HYPERLINK("https://twitter.com/Alex_Garcia_85/status/1065728221721833472","1065728221721833472")</f>
        <v>1065728221721833472</v>
      </c>
      <c r="F1361" s="11" t="s">
        <v>2741</v>
      </c>
      <c r="G1361" s="12"/>
      <c r="H1361" s="12"/>
      <c r="I1361" s="13">
        <v>0</v>
      </c>
      <c r="J1361" s="13">
        <v>0</v>
      </c>
      <c r="K1361" s="14" t="str">
        <f t="shared" si="215"/>
        <v>Twitter for Android</v>
      </c>
      <c r="L1361" s="13">
        <v>85</v>
      </c>
      <c r="M1361" s="13">
        <v>279</v>
      </c>
      <c r="N1361" s="13">
        <v>0</v>
      </c>
      <c r="O1361" s="15"/>
      <c r="P1361" s="6">
        <v>43264.514062499999</v>
      </c>
      <c r="Q1361" s="17" t="s">
        <v>5292</v>
      </c>
      <c r="R1361" s="18" t="s">
        <v>5293</v>
      </c>
      <c r="S1361" s="12"/>
      <c r="T1361" s="12"/>
      <c r="U1361" s="10" t="str">
        <f>HYPERLINK("https://pbs.twimg.com/profile_images/1006847455579820033/_lJTfhih.jpg","View")</f>
        <v>View</v>
      </c>
    </row>
    <row r="1362" spans="1:21" ht="40.799999999999997">
      <c r="A1362" s="6">
        <v>43426.962754629625</v>
      </c>
      <c r="B1362" s="7" t="str">
        <f>HYPERLINK("https://twitter.com/EmbacubaCol","@EmbacubaCol")</f>
        <v>@EmbacubaCol</v>
      </c>
      <c r="C1362" s="8" t="s">
        <v>5294</v>
      </c>
      <c r="D1362" s="9" t="s">
        <v>5295</v>
      </c>
      <c r="E1362" s="10" t="str">
        <f>HYPERLINK("https://twitter.com/EmbacubaCol/status/1065728217816932352","1065728217816932352")</f>
        <v>1065728217816932352</v>
      </c>
      <c r="F1362" s="12"/>
      <c r="G1362" s="12"/>
      <c r="H1362" s="12"/>
      <c r="I1362" s="13">
        <v>1</v>
      </c>
      <c r="J1362" s="13">
        <v>3</v>
      </c>
      <c r="K1362" s="14" t="str">
        <f>HYPERLINK("http://twitter.com","Twitter Web Client")</f>
        <v>Twitter Web Client</v>
      </c>
      <c r="L1362" s="13">
        <v>1680</v>
      </c>
      <c r="M1362" s="13">
        <v>1069</v>
      </c>
      <c r="N1362" s="13">
        <v>49</v>
      </c>
      <c r="O1362" s="15"/>
      <c r="P1362" s="6">
        <v>42131.791817129633</v>
      </c>
      <c r="Q1362" s="17" t="s">
        <v>5020</v>
      </c>
      <c r="R1362" s="18" t="s">
        <v>5296</v>
      </c>
      <c r="S1362" s="11" t="s">
        <v>5297</v>
      </c>
      <c r="T1362" s="12"/>
      <c r="U1362" s="10" t="str">
        <f>HYPERLINK("https://pbs.twimg.com/profile_images/1063814015091040257/k1nDlQih.jpg","View")</f>
        <v>View</v>
      </c>
    </row>
    <row r="1363" spans="1:21" ht="30.6">
      <c r="A1363" s="6">
        <v>43426.962349537032</v>
      </c>
      <c r="B1363" s="7" t="str">
        <f>HYPERLINK("https://twitter.com/publico_es","@publico_es")</f>
        <v>@publico_es</v>
      </c>
      <c r="C1363" s="8" t="s">
        <v>4694</v>
      </c>
      <c r="D1363" s="9" t="s">
        <v>5298</v>
      </c>
      <c r="E1363" s="10" t="str">
        <f>HYPERLINK("https://twitter.com/publico_es/status/1065728071985184769","1065728071985184769")</f>
        <v>1065728071985184769</v>
      </c>
      <c r="F1363" s="11" t="s">
        <v>5299</v>
      </c>
      <c r="G1363" s="12"/>
      <c r="H1363" s="12"/>
      <c r="I1363" s="13">
        <v>3</v>
      </c>
      <c r="J1363" s="13">
        <v>8</v>
      </c>
      <c r="K1363" s="14" t="str">
        <f>HYPERLINK("https://about.twitter.com/products/tweetdeck","TweetDeck")</f>
        <v>TweetDeck</v>
      </c>
      <c r="L1363" s="13">
        <v>911013</v>
      </c>
      <c r="M1363" s="13">
        <v>1455</v>
      </c>
      <c r="N1363" s="13">
        <v>14812</v>
      </c>
      <c r="O1363" s="16" t="s">
        <v>26</v>
      </c>
      <c r="P1363" s="6">
        <v>39779.559525462959</v>
      </c>
      <c r="Q1363" s="17" t="s">
        <v>1692</v>
      </c>
      <c r="R1363" s="18" t="s">
        <v>4696</v>
      </c>
      <c r="S1363" s="11" t="s">
        <v>4697</v>
      </c>
      <c r="T1363" s="12"/>
      <c r="U1363" s="10" t="str">
        <f>HYPERLINK("https://pbs.twimg.com/profile_images/1048242435682422786/FdzZWHU8.jpg","View")</f>
        <v>View</v>
      </c>
    </row>
    <row r="1364" spans="1:21" ht="30.6">
      <c r="A1364" s="6">
        <v>43426.961805555555</v>
      </c>
      <c r="B1364" s="7" t="str">
        <f>HYPERLINK("https://twitter.com/tamiroff_","@tamiroff_")</f>
        <v>@tamiroff_</v>
      </c>
      <c r="C1364" s="8" t="s">
        <v>5300</v>
      </c>
      <c r="D1364" s="9" t="s">
        <v>5301</v>
      </c>
      <c r="E1364" s="10" t="str">
        <f>HYPERLINK("https://twitter.com/tamiroff_/status/1065727873951125505","1065727873951125505")</f>
        <v>1065727873951125505</v>
      </c>
      <c r="F1364" s="12"/>
      <c r="G1364" s="12"/>
      <c r="H1364" s="12"/>
      <c r="I1364" s="13">
        <v>2</v>
      </c>
      <c r="J1364" s="13">
        <v>11</v>
      </c>
      <c r="K1364" s="14" t="str">
        <f>HYPERLINK("https://tapbots.com/software/tweetbot/mac","Tweetbot for Mac")</f>
        <v>Tweetbot for Mac</v>
      </c>
      <c r="L1364" s="13">
        <v>8585</v>
      </c>
      <c r="M1364" s="13">
        <v>1460</v>
      </c>
      <c r="N1364" s="13">
        <v>141</v>
      </c>
      <c r="O1364" s="15"/>
      <c r="P1364" s="6">
        <v>40550.859178240738</v>
      </c>
      <c r="Q1364" s="12"/>
      <c r="R1364" s="19"/>
      <c r="S1364" s="12"/>
      <c r="T1364" s="12"/>
      <c r="U1364" s="10" t="str">
        <f>HYPERLINK("https://pbs.twimg.com/profile_images/817357043522748416/dTzZQIH8.jpg","View")</f>
        <v>View</v>
      </c>
    </row>
    <row r="1365" spans="1:21" ht="20.399999999999999">
      <c r="A1365" s="6">
        <v>43426.961516203708</v>
      </c>
      <c r="B1365" s="7" t="str">
        <f>HYPERLINK("https://twitter.com/emaringiro","@emaringiro")</f>
        <v>@emaringiro</v>
      </c>
      <c r="C1365" s="8" t="s">
        <v>5302</v>
      </c>
      <c r="D1365" s="9" t="s">
        <v>5303</v>
      </c>
      <c r="E1365" s="10" t="str">
        <f>HYPERLINK("https://twitter.com/emaringiro/status/1065727769827524608","1065727769827524608")</f>
        <v>1065727769827524608</v>
      </c>
      <c r="F1365" s="11" t="s">
        <v>5304</v>
      </c>
      <c r="G1365" s="12"/>
      <c r="H1365" s="12"/>
      <c r="I1365" s="13">
        <v>0</v>
      </c>
      <c r="J1365" s="13">
        <v>0</v>
      </c>
      <c r="K1365" s="14" t="str">
        <f t="shared" ref="K1365:K1366" si="216">HYPERLINK("http://twitter.com","Twitter Web Client")</f>
        <v>Twitter Web Client</v>
      </c>
      <c r="L1365" s="13">
        <v>399</v>
      </c>
      <c r="M1365" s="13">
        <v>877</v>
      </c>
      <c r="N1365" s="13">
        <v>4</v>
      </c>
      <c r="O1365" s="15"/>
      <c r="P1365" s="6">
        <v>40556.412905092591</v>
      </c>
      <c r="Q1365" s="17" t="s">
        <v>2506</v>
      </c>
      <c r="R1365" s="18" t="s">
        <v>5305</v>
      </c>
      <c r="S1365" s="11" t="s">
        <v>5306</v>
      </c>
      <c r="T1365" s="12"/>
      <c r="U1365" s="10" t="str">
        <f>HYPERLINK("https://pbs.twimg.com/profile_images/741110391074394112/iUm8Wyil.jpg","View")</f>
        <v>View</v>
      </c>
    </row>
    <row r="1366" spans="1:21" ht="51">
      <c r="A1366" s="6">
        <v>43426.961284722223</v>
      </c>
      <c r="B1366" s="7" t="str">
        <f>HYPERLINK("https://twitter.com/lorenacantoEFE","@lorenacantoEFE")</f>
        <v>@lorenacantoEFE</v>
      </c>
      <c r="C1366" s="8" t="s">
        <v>5307</v>
      </c>
      <c r="D1366" s="9" t="s">
        <v>5308</v>
      </c>
      <c r="E1366" s="10" t="str">
        <f>HYPERLINK("https://twitter.com/lorenacantoEFE/status/1065727686239232000","1065727686239232000")</f>
        <v>1065727686239232000</v>
      </c>
      <c r="F1366" s="12"/>
      <c r="G1366" s="12"/>
      <c r="H1366" s="12"/>
      <c r="I1366" s="13">
        <v>1</v>
      </c>
      <c r="J1366" s="13">
        <v>11</v>
      </c>
      <c r="K1366" s="14" t="str">
        <f t="shared" si="216"/>
        <v>Twitter Web Client</v>
      </c>
      <c r="L1366" s="13">
        <v>787</v>
      </c>
      <c r="M1366" s="13">
        <v>441</v>
      </c>
      <c r="N1366" s="13">
        <v>37</v>
      </c>
      <c r="O1366" s="15"/>
      <c r="P1366" s="6">
        <v>40880.605937500004</v>
      </c>
      <c r="Q1366" s="17" t="s">
        <v>1282</v>
      </c>
      <c r="R1366" s="18" t="s">
        <v>5309</v>
      </c>
      <c r="S1366" s="12"/>
      <c r="T1366" s="12"/>
      <c r="U1366" s="10" t="str">
        <f>HYPERLINK("https://pbs.twimg.com/profile_images/1047201968203206656/zj459Anb.jpg","View")</f>
        <v>View</v>
      </c>
    </row>
    <row r="1367" spans="1:21" ht="20.399999999999999">
      <c r="A1367" s="6">
        <v>43426.961018518516</v>
      </c>
      <c r="B1367" s="7" t="str">
        <f>HYPERLINK("https://twitter.com/CONCHA_ZARAGOZA","@CONCHA_ZARAGOZA")</f>
        <v>@CONCHA_ZARAGOZA</v>
      </c>
      <c r="C1367" s="8" t="s">
        <v>5310</v>
      </c>
      <c r="D1367" s="9" t="s">
        <v>3630</v>
      </c>
      <c r="E1367" s="10" t="str">
        <f>HYPERLINK("https://twitter.com/CONCHA_ZARAGOZA/status/1065727591569592320","1065727591569592320")</f>
        <v>1065727591569592320</v>
      </c>
      <c r="F1367" s="11" t="s">
        <v>3631</v>
      </c>
      <c r="G1367" s="12"/>
      <c r="H1367" s="12"/>
      <c r="I1367" s="13">
        <v>1</v>
      </c>
      <c r="J1367" s="13">
        <v>2</v>
      </c>
      <c r="K1367" s="14" t="str">
        <f>HYPERLINK("http://twitter.com/download/android","Twitter for Android")</f>
        <v>Twitter for Android</v>
      </c>
      <c r="L1367" s="13">
        <v>2996</v>
      </c>
      <c r="M1367" s="13">
        <v>3363</v>
      </c>
      <c r="N1367" s="13">
        <v>79</v>
      </c>
      <c r="O1367" s="15"/>
      <c r="P1367" s="6">
        <v>40772.991435185184</v>
      </c>
      <c r="Q1367" s="17" t="s">
        <v>5311</v>
      </c>
      <c r="R1367" s="18" t="s">
        <v>5312</v>
      </c>
      <c r="S1367" s="12"/>
      <c r="T1367" s="12"/>
      <c r="U1367" s="10" t="str">
        <f>HYPERLINK("https://pbs.twimg.com/profile_images/881951172659204097/qzahdlGI.jpg","View")</f>
        <v>View</v>
      </c>
    </row>
    <row r="1368" spans="1:21" ht="51">
      <c r="A1368" s="6">
        <v>43426.960856481484</v>
      </c>
      <c r="B1368" s="7" t="str">
        <f>HYPERLINK("https://twitter.com/fabiobuitragog","@fabiobuitragog")</f>
        <v>@fabiobuitragog</v>
      </c>
      <c r="C1368" s="8" t="s">
        <v>5313</v>
      </c>
      <c r="D1368" s="9" t="s">
        <v>5314</v>
      </c>
      <c r="E1368" s="10" t="str">
        <f>HYPERLINK("https://twitter.com/fabiobuitragog/status/1065727531674943488","1065727531674943488")</f>
        <v>1065727531674943488</v>
      </c>
      <c r="F1368" s="17" t="s">
        <v>5315</v>
      </c>
      <c r="G1368" s="11" t="s">
        <v>5316</v>
      </c>
      <c r="H1368" s="12"/>
      <c r="I1368" s="13">
        <v>0</v>
      </c>
      <c r="J1368" s="13">
        <v>0</v>
      </c>
      <c r="K1368" s="14" t="str">
        <f>HYPERLINK("http://twitter.com","Twitter Web Client")</f>
        <v>Twitter Web Client</v>
      </c>
      <c r="L1368" s="13">
        <v>333</v>
      </c>
      <c r="M1368" s="13">
        <v>224</v>
      </c>
      <c r="N1368" s="13">
        <v>2</v>
      </c>
      <c r="O1368" s="15"/>
      <c r="P1368" s="6">
        <v>40646.488229166665</v>
      </c>
      <c r="Q1368" s="17" t="s">
        <v>5317</v>
      </c>
      <c r="R1368" s="18" t="s">
        <v>5318</v>
      </c>
      <c r="S1368" s="11" t="s">
        <v>5319</v>
      </c>
      <c r="T1368" s="12"/>
      <c r="U1368" s="10" t="str">
        <f>HYPERLINK("https://pbs.twimg.com/profile_images/887663139189379072/337X8vo4.jpg","View")</f>
        <v>View</v>
      </c>
    </row>
    <row r="1369" spans="1:21" ht="30.6">
      <c r="A1369" s="6">
        <v>43426.960381944446</v>
      </c>
      <c r="B1369" s="7" t="str">
        <f>HYPERLINK("https://twitter.com/Sanjoca","@Sanjoca")</f>
        <v>@Sanjoca</v>
      </c>
      <c r="C1369" s="8" t="s">
        <v>5320</v>
      </c>
      <c r="D1369" s="9" t="s">
        <v>5321</v>
      </c>
      <c r="E1369" s="10" t="str">
        <f>HYPERLINK("https://twitter.com/Sanjoca/status/1065727357972041728","1065727357972041728")</f>
        <v>1065727357972041728</v>
      </c>
      <c r="F1369" s="12"/>
      <c r="G1369" s="11" t="s">
        <v>5322</v>
      </c>
      <c r="H1369" s="12"/>
      <c r="I1369" s="13">
        <v>0</v>
      </c>
      <c r="J1369" s="13">
        <v>0</v>
      </c>
      <c r="K1369" s="14" t="str">
        <f t="shared" ref="K1369:K1370" si="217">HYPERLINK("http://twitter.com/download/android","Twitter for Android")</f>
        <v>Twitter for Android</v>
      </c>
      <c r="L1369" s="13">
        <v>90</v>
      </c>
      <c r="M1369" s="13">
        <v>229</v>
      </c>
      <c r="N1369" s="13">
        <v>11</v>
      </c>
      <c r="O1369" s="15"/>
      <c r="P1369" s="6">
        <v>40584.808692129627</v>
      </c>
      <c r="Q1369" s="17" t="s">
        <v>5323</v>
      </c>
      <c r="R1369" s="19"/>
      <c r="S1369" s="12"/>
      <c r="T1369" s="12"/>
      <c r="U1369" s="10" t="str">
        <f>HYPERLINK("https://pbs.twimg.com/profile_images/1008275557254074374/pynrexI6.jpg","View")</f>
        <v>View</v>
      </c>
    </row>
    <row r="1370" spans="1:21" ht="20.399999999999999">
      <c r="A1370" s="6">
        <v>43426.959247685183</v>
      </c>
      <c r="B1370" s="7" t="str">
        <f>HYPERLINK("https://twitter.com/Raluque1111","@Raluque1111")</f>
        <v>@Raluque1111</v>
      </c>
      <c r="C1370" s="8" t="s">
        <v>5324</v>
      </c>
      <c r="D1370" s="9" t="s">
        <v>2981</v>
      </c>
      <c r="E1370" s="10" t="str">
        <f>HYPERLINK("https://twitter.com/Raluque1111/status/1065726946934497280","1065726946934497280")</f>
        <v>1065726946934497280</v>
      </c>
      <c r="F1370" s="11" t="s">
        <v>5325</v>
      </c>
      <c r="G1370" s="12"/>
      <c r="H1370" s="12"/>
      <c r="I1370" s="13">
        <v>0</v>
      </c>
      <c r="J1370" s="13">
        <v>0</v>
      </c>
      <c r="K1370" s="14" t="str">
        <f t="shared" si="217"/>
        <v>Twitter for Android</v>
      </c>
      <c r="L1370" s="13">
        <v>319</v>
      </c>
      <c r="M1370" s="13">
        <v>190</v>
      </c>
      <c r="N1370" s="13">
        <v>6</v>
      </c>
      <c r="O1370" s="15"/>
      <c r="P1370" s="6">
        <v>42920.799259259264</v>
      </c>
      <c r="Q1370" s="12"/>
      <c r="R1370" s="18" t="s">
        <v>5326</v>
      </c>
      <c r="S1370" s="12"/>
      <c r="T1370" s="12"/>
      <c r="U1370" s="10" t="str">
        <f>HYPERLINK("https://pbs.twimg.com/profile_images/887673992743616512/JQnOp2j4.jpg","View")</f>
        <v>View</v>
      </c>
    </row>
    <row r="1371" spans="1:21" ht="20.399999999999999">
      <c r="A1371" s="6">
        <v>43426.958530092597</v>
      </c>
      <c r="B1371" s="7" t="str">
        <f>HYPERLINK("https://twitter.com/L20mOtros","@L20mOtros")</f>
        <v>@L20mOtros</v>
      </c>
      <c r="C1371" s="8" t="s">
        <v>4809</v>
      </c>
      <c r="D1371" s="9" t="s">
        <v>5327</v>
      </c>
      <c r="E1371" s="10" t="str">
        <f>HYPERLINK("https://twitter.com/L20mOtros/status/1065726689504870400","1065726689504870400")</f>
        <v>1065726689504870400</v>
      </c>
      <c r="F1371" s="11" t="s">
        <v>5328</v>
      </c>
      <c r="G1371" s="11" t="s">
        <v>5329</v>
      </c>
      <c r="H1371" s="12"/>
      <c r="I1371" s="13">
        <v>0</v>
      </c>
      <c r="J1371" s="13">
        <v>0</v>
      </c>
      <c r="K1371" s="14" t="str">
        <f t="shared" ref="K1371:K1372" si="218">HYPERLINK("http://dogtrack.es","DogTrack_Oficial")</f>
        <v>DogTrack_Oficial</v>
      </c>
      <c r="L1371" s="13">
        <v>22</v>
      </c>
      <c r="M1371" s="13">
        <v>8</v>
      </c>
      <c r="N1371" s="13">
        <v>0</v>
      </c>
      <c r="O1371" s="15"/>
      <c r="P1371" s="6">
        <v>41285.602418981478</v>
      </c>
      <c r="Q1371" s="12"/>
      <c r="R1371" s="19"/>
      <c r="S1371" s="11" t="s">
        <v>4812</v>
      </c>
      <c r="T1371" s="12"/>
      <c r="U1371" s="10" t="str">
        <f>HYPERLINK("https://pbs.twimg.com/profile_images/3148562799/6854a445e373c5053b43f5c11d764b41.jpeg","View")</f>
        <v>View</v>
      </c>
    </row>
    <row r="1372" spans="1:21" ht="20.399999999999999">
      <c r="A1372" s="6">
        <v>43426.958344907413</v>
      </c>
      <c r="B1372" s="7" t="str">
        <f>HYPERLINK("https://twitter.com/OndaCero_es","@OndaCero_es")</f>
        <v>@OndaCero_es</v>
      </c>
      <c r="C1372" s="8" t="s">
        <v>3085</v>
      </c>
      <c r="D1372" s="9" t="s">
        <v>5330</v>
      </c>
      <c r="E1372" s="10" t="str">
        <f>HYPERLINK("https://twitter.com/OndaCero_es/status/1065726619908825089","1065726619908825089")</f>
        <v>1065726619908825089</v>
      </c>
      <c r="F1372" s="11" t="s">
        <v>5331</v>
      </c>
      <c r="G1372" s="12"/>
      <c r="H1372" s="12"/>
      <c r="I1372" s="13">
        <v>0</v>
      </c>
      <c r="J1372" s="13">
        <v>0</v>
      </c>
      <c r="K1372" s="14" t="str">
        <f t="shared" si="218"/>
        <v>DogTrack_Oficial</v>
      </c>
      <c r="L1372" s="13">
        <v>503952</v>
      </c>
      <c r="M1372" s="13">
        <v>676</v>
      </c>
      <c r="N1372" s="13">
        <v>3489</v>
      </c>
      <c r="O1372" s="16" t="s">
        <v>26</v>
      </c>
      <c r="P1372" s="6">
        <v>40450.611562500002</v>
      </c>
      <c r="Q1372" s="12"/>
      <c r="R1372" s="18" t="s">
        <v>5332</v>
      </c>
      <c r="S1372" s="11" t="s">
        <v>5333</v>
      </c>
      <c r="T1372" s="12"/>
      <c r="U1372" s="10" t="str">
        <f>HYPERLINK("https://pbs.twimg.com/profile_images/898971242270793729/R3L_noj-.jpg","View")</f>
        <v>View</v>
      </c>
    </row>
    <row r="1373" spans="1:21" ht="20.399999999999999">
      <c r="A1373" s="6">
        <v>43426.958113425921</v>
      </c>
      <c r="B1373" s="7" t="str">
        <f>HYPERLINK("https://twitter.com/BUENHECTOR","@BUENHECTOR")</f>
        <v>@BUENHECTOR</v>
      </c>
      <c r="C1373" s="8" t="s">
        <v>5334</v>
      </c>
      <c r="D1373" s="9" t="s">
        <v>5335</v>
      </c>
      <c r="E1373" s="10" t="str">
        <f>HYPERLINK("https://twitter.com/BUENHECTOR/status/1065726538157621248","1065726538157621248")</f>
        <v>1065726538157621248</v>
      </c>
      <c r="F1373" s="11" t="s">
        <v>4718</v>
      </c>
      <c r="G1373" s="12"/>
      <c r="H1373" s="12"/>
      <c r="I1373" s="13">
        <v>0</v>
      </c>
      <c r="J1373" s="13">
        <v>0</v>
      </c>
      <c r="K1373" s="14" t="str">
        <f>HYPERLINK("http://twitter.com","Twitter Web Client")</f>
        <v>Twitter Web Client</v>
      </c>
      <c r="L1373" s="13">
        <v>62</v>
      </c>
      <c r="M1373" s="13">
        <v>486</v>
      </c>
      <c r="N1373" s="13">
        <v>0</v>
      </c>
      <c r="O1373" s="15"/>
      <c r="P1373" s="6">
        <v>40502.752569444448</v>
      </c>
      <c r="Q1373" s="12"/>
      <c r="R1373" s="19"/>
      <c r="S1373" s="12"/>
      <c r="T1373" s="12"/>
      <c r="U1373" s="10" t="str">
        <f>HYPERLINK("https://pbs.twimg.com/profile_images/830953120851038208/MNrR0LlV.jpg","View")</f>
        <v>View</v>
      </c>
    </row>
    <row r="1374" spans="1:21" ht="20.399999999999999">
      <c r="A1374" s="6">
        <v>43426.958090277782</v>
      </c>
      <c r="B1374" s="7" t="str">
        <f>HYPERLINK("https://twitter.com/iceagqa","@iceagqa")</f>
        <v>@iceagqa</v>
      </c>
      <c r="C1374" s="8" t="s">
        <v>5336</v>
      </c>
      <c r="D1374" s="9" t="s">
        <v>2621</v>
      </c>
      <c r="E1374" s="10" t="str">
        <f>HYPERLINK("https://twitter.com/iceagqa/status/1065726528862867456","1065726528862867456")</f>
        <v>1065726528862867456</v>
      </c>
      <c r="F1374" s="11" t="s">
        <v>5337</v>
      </c>
      <c r="G1374" s="12"/>
      <c r="H1374" s="12"/>
      <c r="I1374" s="13">
        <v>0</v>
      </c>
      <c r="J1374" s="13">
        <v>0</v>
      </c>
      <c r="K1374" s="14" t="str">
        <f>HYPERLINK("http://www.facebook.com/twitter","Facebook")</f>
        <v>Facebook</v>
      </c>
      <c r="L1374" s="13">
        <v>39</v>
      </c>
      <c r="M1374" s="13">
        <v>50</v>
      </c>
      <c r="N1374" s="13">
        <v>7</v>
      </c>
      <c r="O1374" s="15"/>
      <c r="P1374" s="6">
        <v>39947.178599537037</v>
      </c>
      <c r="Q1374" s="17" t="s">
        <v>5338</v>
      </c>
      <c r="R1374" s="18" t="s">
        <v>5339</v>
      </c>
      <c r="S1374" s="11" t="s">
        <v>5340</v>
      </c>
      <c r="T1374" s="12"/>
      <c r="U1374" s="10" t="str">
        <f>HYPERLINK("https://pbs.twimg.com/profile_images/2717695037/270b77fd5898aac19b88533868c8eaec.jpeg","View")</f>
        <v>View</v>
      </c>
    </row>
    <row r="1375" spans="1:21" ht="20.399999999999999">
      <c r="A1375" s="6">
        <v>43426.957615740743</v>
      </c>
      <c r="B1375" s="7" t="str">
        <f>HYPERLINK("https://twitter.com/crisponxo","@crisponxo")</f>
        <v>@crisponxo</v>
      </c>
      <c r="C1375" s="8" t="s">
        <v>5341</v>
      </c>
      <c r="D1375" s="9" t="s">
        <v>5342</v>
      </c>
      <c r="E1375" s="10" t="str">
        <f>HYPERLINK("https://twitter.com/crisponxo/status/1065726357294989312","1065726357294989312")</f>
        <v>1065726357294989312</v>
      </c>
      <c r="F1375" s="12"/>
      <c r="G1375" s="12"/>
      <c r="H1375" s="12"/>
      <c r="I1375" s="13">
        <v>1</v>
      </c>
      <c r="J1375" s="13">
        <v>0</v>
      </c>
      <c r="K1375" s="14" t="str">
        <f>HYPERLINK("http://twitter.com/download/android","Twitter for Android")</f>
        <v>Twitter for Android</v>
      </c>
      <c r="L1375" s="13">
        <v>70</v>
      </c>
      <c r="M1375" s="13">
        <v>89</v>
      </c>
      <c r="N1375" s="13">
        <v>11</v>
      </c>
      <c r="O1375" s="15"/>
      <c r="P1375" s="6">
        <v>41839.838078703702</v>
      </c>
      <c r="Q1375" s="17" t="s">
        <v>5343</v>
      </c>
      <c r="R1375" s="18" t="s">
        <v>5344</v>
      </c>
      <c r="S1375" s="11" t="s">
        <v>5345</v>
      </c>
      <c r="T1375" s="12"/>
      <c r="U1375" s="10" t="str">
        <f>HYPERLINK("https://pbs.twimg.com/profile_images/1050547881172701184/kX7DqSy7.jpg","View")</f>
        <v>View</v>
      </c>
    </row>
    <row r="1376" spans="1:21" ht="20.399999999999999">
      <c r="A1376" s="6">
        <v>43426.956990740742</v>
      </c>
      <c r="B1376" s="7" t="str">
        <f>HYPERLINK("https://twitter.com/CristoFeliz1","@CristoFeliz1")</f>
        <v>@CristoFeliz1</v>
      </c>
      <c r="C1376" s="8" t="s">
        <v>4838</v>
      </c>
      <c r="D1376" s="9" t="s">
        <v>5327</v>
      </c>
      <c r="E1376" s="10" t="str">
        <f>HYPERLINK("https://twitter.com/CristoFeliz1/status/1065726129615458304","1065726129615458304")</f>
        <v>1065726129615458304</v>
      </c>
      <c r="F1376" s="11" t="s">
        <v>5346</v>
      </c>
      <c r="G1376" s="11" t="s">
        <v>5347</v>
      </c>
      <c r="H1376" s="12"/>
      <c r="I1376" s="13">
        <v>0</v>
      </c>
      <c r="J1376" s="13">
        <v>0</v>
      </c>
      <c r="K1376" s="14" t="str">
        <f>HYPERLINK("https://dlvrit.com/","dlvr.it")</f>
        <v>dlvr.it</v>
      </c>
      <c r="L1376" s="13">
        <v>7046</v>
      </c>
      <c r="M1376" s="13">
        <v>7743</v>
      </c>
      <c r="N1376" s="13">
        <v>561</v>
      </c>
      <c r="O1376" s="15"/>
      <c r="P1376" s="6">
        <v>41186.866469907407</v>
      </c>
      <c r="Q1376" s="17" t="s">
        <v>1354</v>
      </c>
      <c r="R1376" s="18" t="s">
        <v>4841</v>
      </c>
      <c r="S1376" s="12"/>
      <c r="T1376" s="12"/>
      <c r="U1376" s="10" t="str">
        <f>HYPERLINK("https://pbs.twimg.com/profile_images/1002564938911703040/1Wvxy6Jm.jpg","View")</f>
        <v>View</v>
      </c>
    </row>
    <row r="1377" spans="1:21" ht="51">
      <c r="A1377" s="6">
        <v>43426.95694444445</v>
      </c>
      <c r="B1377" s="7" t="str">
        <f>HYPERLINK("https://twitter.com/eltivipata","@eltivipata")</f>
        <v>@eltivipata</v>
      </c>
      <c r="C1377" s="8" t="s">
        <v>5348</v>
      </c>
      <c r="D1377" s="9" t="s">
        <v>5349</v>
      </c>
      <c r="E1377" s="10" t="str">
        <f>HYPERLINK("https://twitter.com/eltivipata/status/1065726115539488768","1065726115539488768")</f>
        <v>1065726115539488768</v>
      </c>
      <c r="F1377" s="12"/>
      <c r="G1377" s="12"/>
      <c r="H1377" s="12"/>
      <c r="I1377" s="13">
        <v>14</v>
      </c>
      <c r="J1377" s="13">
        <v>31</v>
      </c>
      <c r="K1377" s="14" t="str">
        <f>HYPERLINK("http://twitter.com","Twitter Web Client")</f>
        <v>Twitter Web Client</v>
      </c>
      <c r="L1377" s="13">
        <v>17277</v>
      </c>
      <c r="M1377" s="13">
        <v>826</v>
      </c>
      <c r="N1377" s="13">
        <v>196</v>
      </c>
      <c r="O1377" s="15"/>
      <c r="P1377" s="6">
        <v>42036.876319444447</v>
      </c>
      <c r="Q1377" s="12"/>
      <c r="R1377" s="18" t="s">
        <v>5350</v>
      </c>
      <c r="S1377" s="11" t="s">
        <v>5351</v>
      </c>
      <c r="T1377" s="12"/>
      <c r="U1377" s="10" t="str">
        <f>HYPERLINK("https://pbs.twimg.com/profile_images/1023674286723289088/Po12eeSC.jpg","View")</f>
        <v>View</v>
      </c>
    </row>
    <row r="1378" spans="1:21" ht="20.399999999999999">
      <c r="A1378" s="6">
        <v>43426.956932870366</v>
      </c>
      <c r="B1378" s="7" t="str">
        <f>HYPERLINK("https://twitter.com/sextaNoticias","@sextaNoticias")</f>
        <v>@sextaNoticias</v>
      </c>
      <c r="C1378" s="8" t="s">
        <v>1884</v>
      </c>
      <c r="D1378" s="9" t="s">
        <v>5352</v>
      </c>
      <c r="E1378" s="10" t="str">
        <f>HYPERLINK("https://twitter.com/sextaNoticias/status/1065726112012091392","1065726112012091392")</f>
        <v>1065726112012091392</v>
      </c>
      <c r="F1378" s="11" t="s">
        <v>5353</v>
      </c>
      <c r="G1378" s="12"/>
      <c r="H1378" s="12"/>
      <c r="I1378" s="13">
        <v>13</v>
      </c>
      <c r="J1378" s="13">
        <v>18</v>
      </c>
      <c r="K1378" s="14" t="str">
        <f>HYPERLINK("http://dogtrack.es","DogTrack_Oficial")</f>
        <v>DogTrack_Oficial</v>
      </c>
      <c r="L1378" s="13">
        <v>1108910</v>
      </c>
      <c r="M1378" s="13">
        <v>279</v>
      </c>
      <c r="N1378" s="13">
        <v>7292</v>
      </c>
      <c r="O1378" s="16" t="s">
        <v>26</v>
      </c>
      <c r="P1378" s="6">
        <v>40099.614328703705</v>
      </c>
      <c r="Q1378" s="12"/>
      <c r="R1378" s="18" t="s">
        <v>1887</v>
      </c>
      <c r="S1378" s="11" t="s">
        <v>1888</v>
      </c>
      <c r="T1378" s="12"/>
      <c r="U1378" s="10" t="str">
        <f>HYPERLINK("https://pbs.twimg.com/profile_images/898970208551022592/hh3ITSK-.jpg","View")</f>
        <v>View</v>
      </c>
    </row>
    <row r="1379" spans="1:21" ht="40.799999999999997">
      <c r="A1379" s="6">
        <v>43426.956712962958</v>
      </c>
      <c r="B1379" s="7" t="str">
        <f>HYPERLINK("https://twitter.com/jallorente","@jallorente")</f>
        <v>@jallorente</v>
      </c>
      <c r="C1379" s="8" t="s">
        <v>2811</v>
      </c>
      <c r="D1379" s="9" t="s">
        <v>5354</v>
      </c>
      <c r="E1379" s="10" t="str">
        <f>HYPERLINK("https://twitter.com/jallorente/status/1065726028654542849","1065726028654542849")</f>
        <v>1065726028654542849</v>
      </c>
      <c r="F1379" s="11" t="s">
        <v>4922</v>
      </c>
      <c r="G1379" s="12"/>
      <c r="H1379" s="12"/>
      <c r="I1379" s="13">
        <v>2</v>
      </c>
      <c r="J1379" s="13">
        <v>4</v>
      </c>
      <c r="K1379" s="14" t="str">
        <f>HYPERLINK("http://twitter.com/download/iphone","Twitter for iPhone")</f>
        <v>Twitter for iPhone</v>
      </c>
      <c r="L1379" s="13">
        <v>9073</v>
      </c>
      <c r="M1379" s="13">
        <v>1473</v>
      </c>
      <c r="N1379" s="13">
        <v>390</v>
      </c>
      <c r="O1379" s="15"/>
      <c r="P1379" s="6">
        <v>40001.579039351855</v>
      </c>
      <c r="Q1379" s="17" t="s">
        <v>2814</v>
      </c>
      <c r="R1379" s="18" t="s">
        <v>2815</v>
      </c>
      <c r="S1379" s="11" t="s">
        <v>2816</v>
      </c>
      <c r="T1379" s="12"/>
      <c r="U1379" s="10" t="str">
        <f>HYPERLINK("https://pbs.twimg.com/profile_images/663872235275476992/ndP3Sqkq.jpg","View")</f>
        <v>View</v>
      </c>
    </row>
    <row r="1380" spans="1:21" ht="40.799999999999997">
      <c r="A1380" s="6">
        <v>43426.954710648148</v>
      </c>
      <c r="B1380" s="7" t="str">
        <f>HYPERLINK("https://twitter.com/Canal_Z_","@Canal_Z_")</f>
        <v>@Canal_Z_</v>
      </c>
      <c r="C1380" s="8" t="s">
        <v>4320</v>
      </c>
      <c r="D1380" s="9" t="s">
        <v>5327</v>
      </c>
      <c r="E1380" s="10" t="str">
        <f>HYPERLINK("https://twitter.com/Canal_Z_/status/1065725303287422977","1065725303287422977")</f>
        <v>1065725303287422977</v>
      </c>
      <c r="F1380" s="11" t="s">
        <v>4926</v>
      </c>
      <c r="G1380" s="11" t="s">
        <v>5355</v>
      </c>
      <c r="H1380" s="12"/>
      <c r="I1380" s="13">
        <v>0</v>
      </c>
      <c r="J1380" s="13">
        <v>0</v>
      </c>
      <c r="K1380" s="14" t="str">
        <f>HYPERLINK("http://twitter.com","Twitter Web Client")</f>
        <v>Twitter Web Client</v>
      </c>
      <c r="L1380" s="13">
        <v>2272</v>
      </c>
      <c r="M1380" s="13">
        <v>4991</v>
      </c>
      <c r="N1380" s="13">
        <v>6</v>
      </c>
      <c r="O1380" s="15"/>
      <c r="P1380" s="6">
        <v>41462.275254629625</v>
      </c>
      <c r="Q1380" s="17" t="s">
        <v>28</v>
      </c>
      <c r="R1380" s="18" t="s">
        <v>4322</v>
      </c>
      <c r="S1380" s="12"/>
      <c r="T1380" s="12"/>
      <c r="U1380" s="10" t="str">
        <f>HYPERLINK("https://pbs.twimg.com/profile_images/1008407123242422272/aENpWjy6.jpg","View")</f>
        <v>View</v>
      </c>
    </row>
    <row r="1381" spans="1:21" ht="40.799999999999997">
      <c r="A1381" s="6">
        <v>43426.954224537039</v>
      </c>
      <c r="B1381" s="7" t="str">
        <f>HYPERLINK("https://twitter.com/jatirado","@jatirado")</f>
        <v>@jatirado</v>
      </c>
      <c r="C1381" s="8" t="s">
        <v>1985</v>
      </c>
      <c r="D1381" s="9" t="s">
        <v>5327</v>
      </c>
      <c r="E1381" s="10" t="str">
        <f>HYPERLINK("https://twitter.com/jatirado/status/1065725129693380608","1065725129693380608")</f>
        <v>1065725129693380608</v>
      </c>
      <c r="F1381" s="11" t="s">
        <v>5356</v>
      </c>
      <c r="G1381" s="11" t="s">
        <v>5357</v>
      </c>
      <c r="H1381" s="12"/>
      <c r="I1381" s="13">
        <v>5</v>
      </c>
      <c r="J1381" s="13">
        <v>1</v>
      </c>
      <c r="K1381" s="14" t="str">
        <f>HYPERLINK("https://dlvrit.com/","dlvr.it")</f>
        <v>dlvr.it</v>
      </c>
      <c r="L1381" s="13">
        <v>81726</v>
      </c>
      <c r="M1381" s="13">
        <v>54342</v>
      </c>
      <c r="N1381" s="13">
        <v>1027</v>
      </c>
      <c r="O1381" s="15"/>
      <c r="P1381" s="6">
        <v>40353.552581018521</v>
      </c>
      <c r="Q1381" s="17" t="s">
        <v>72</v>
      </c>
      <c r="R1381" s="18" t="s">
        <v>1988</v>
      </c>
      <c r="S1381" s="11" t="s">
        <v>1989</v>
      </c>
      <c r="T1381" s="12"/>
      <c r="U1381" s="10" t="str">
        <f>HYPERLINK("https://pbs.twimg.com/profile_images/485680559742791680/dg68o8vH.jpeg","View")</f>
        <v>View</v>
      </c>
    </row>
    <row r="1382" spans="1:21" ht="30.6">
      <c r="A1382" s="6">
        <v>43426.954062500001</v>
      </c>
      <c r="B1382" s="7" t="str">
        <f>HYPERLINK("https://twitter.com/LuisMFuentes70","@LuisMFuentes70")</f>
        <v>@LuisMFuentes70</v>
      </c>
      <c r="C1382" s="8" t="s">
        <v>5358</v>
      </c>
      <c r="D1382" s="9" t="s">
        <v>3630</v>
      </c>
      <c r="E1382" s="10" t="str">
        <f>HYPERLINK("https://twitter.com/LuisMFuentes70/status/1065725071401107458","1065725071401107458")</f>
        <v>1065725071401107458</v>
      </c>
      <c r="F1382" s="11" t="s">
        <v>3631</v>
      </c>
      <c r="G1382" s="12"/>
      <c r="H1382" s="12"/>
      <c r="I1382" s="13">
        <v>0</v>
      </c>
      <c r="J1382" s="13">
        <v>0</v>
      </c>
      <c r="K1382" s="14" t="str">
        <f t="shared" ref="K1382:K1383" si="219">HYPERLINK("http://twitter.com/download/android","Twitter for Android")</f>
        <v>Twitter for Android</v>
      </c>
      <c r="L1382" s="13">
        <v>1912</v>
      </c>
      <c r="M1382" s="13">
        <v>1153</v>
      </c>
      <c r="N1382" s="13">
        <v>73</v>
      </c>
      <c r="O1382" s="15"/>
      <c r="P1382" s="6">
        <v>40980.860949074078</v>
      </c>
      <c r="Q1382" s="17" t="s">
        <v>27</v>
      </c>
      <c r="R1382" s="18" t="s">
        <v>5359</v>
      </c>
      <c r="S1382" s="11" t="s">
        <v>5360</v>
      </c>
      <c r="T1382" s="12"/>
      <c r="U1382" s="10" t="str">
        <f>HYPERLINK("https://pbs.twimg.com/profile_images/813369783718727680/hlslVMpo.jpg","View")</f>
        <v>View</v>
      </c>
    </row>
    <row r="1383" spans="1:21" ht="20.399999999999999">
      <c r="A1383" s="6">
        <v>43426.953634259262</v>
      </c>
      <c r="B1383" s="7" t="str">
        <f>HYPERLINK("https://twitter.com/CalafJoan","@CalafJoan")</f>
        <v>@CalafJoan</v>
      </c>
      <c r="C1383" s="8" t="s">
        <v>5361</v>
      </c>
      <c r="D1383" s="9" t="s">
        <v>5362</v>
      </c>
      <c r="E1383" s="10" t="str">
        <f>HYPERLINK("https://twitter.com/CalafJoan/status/1065724915830145024","1065724915830145024")</f>
        <v>1065724915830145024</v>
      </c>
      <c r="F1383" s="11" t="s">
        <v>5363</v>
      </c>
      <c r="G1383" s="17" t="s">
        <v>5364</v>
      </c>
      <c r="H1383" s="12"/>
      <c r="I1383" s="13">
        <v>0</v>
      </c>
      <c r="J1383" s="13">
        <v>0</v>
      </c>
      <c r="K1383" s="14" t="str">
        <f t="shared" si="219"/>
        <v>Twitter for Android</v>
      </c>
      <c r="L1383" s="13">
        <v>0</v>
      </c>
      <c r="M1383" s="13">
        <v>0</v>
      </c>
      <c r="N1383" s="13">
        <v>0</v>
      </c>
      <c r="O1383" s="15"/>
      <c r="P1383" s="6">
        <v>43422.54824074074</v>
      </c>
      <c r="Q1383" s="12"/>
      <c r="R1383" s="18" t="s">
        <v>5365</v>
      </c>
      <c r="S1383" s="12"/>
      <c r="T1383" s="12"/>
      <c r="U1383" s="10" t="str">
        <f>HYPERLINK("https://pbs.twimg.com/profile_images/1064131355821379584/QPf_iUqe.jpg","View")</f>
        <v>View</v>
      </c>
    </row>
    <row r="1384" spans="1:21" ht="30.6">
      <c r="A1384" s="6">
        <v>43426.953622685185</v>
      </c>
      <c r="B1384" s="7" t="str">
        <f>HYPERLINK("https://twitter.com/eldiarioes","@eldiarioes")</f>
        <v>@eldiarioes</v>
      </c>
      <c r="C1384" s="20" t="s">
        <v>1128</v>
      </c>
      <c r="D1384" s="9" t="s">
        <v>5366</v>
      </c>
      <c r="E1384" s="10" t="str">
        <f>HYPERLINK("https://twitter.com/eldiarioes/status/1065724910214004743","1065724910214004743")</f>
        <v>1065724910214004743</v>
      </c>
      <c r="F1384" s="11" t="s">
        <v>1618</v>
      </c>
      <c r="G1384" s="11" t="s">
        <v>5316</v>
      </c>
      <c r="H1384" s="12"/>
      <c r="I1384" s="13">
        <v>23</v>
      </c>
      <c r="J1384" s="13">
        <v>18</v>
      </c>
      <c r="K1384" s="14" t="str">
        <f>HYPERLINK("https://about.twitter.com/products/tweetdeck","TweetDeck")</f>
        <v>TweetDeck</v>
      </c>
      <c r="L1384" s="13">
        <v>936617</v>
      </c>
      <c r="M1384" s="13">
        <v>456</v>
      </c>
      <c r="N1384" s="13">
        <v>11237</v>
      </c>
      <c r="O1384" s="16" t="s">
        <v>26</v>
      </c>
      <c r="P1384" s="6">
        <v>40992.839189814811</v>
      </c>
      <c r="Q1384" s="12"/>
      <c r="R1384" s="18" t="s">
        <v>1131</v>
      </c>
      <c r="S1384" s="11" t="s">
        <v>1113</v>
      </c>
      <c r="T1384" s="12"/>
      <c r="U1384" s="10" t="str">
        <f>HYPERLINK("https://pbs.twimg.com/profile_images/1016600645292511232/eYIkIK2s.jpg","View")</f>
        <v>View</v>
      </c>
    </row>
    <row r="1385" spans="1:21" ht="40.799999999999997">
      <c r="A1385" s="6">
        <v>43426.953275462962</v>
      </c>
      <c r="B1385" s="7" t="str">
        <f>HYPERLINK("https://twitter.com/romualdoperisg1","@romualdoperisg1")</f>
        <v>@romualdoperisg1</v>
      </c>
      <c r="C1385" s="8" t="s">
        <v>5367</v>
      </c>
      <c r="D1385" s="9" t="s">
        <v>5368</v>
      </c>
      <c r="E1385" s="10" t="str">
        <f>HYPERLINK("https://twitter.com/romualdoperisg1/status/1065724784007421952","1065724784007421952")</f>
        <v>1065724784007421952</v>
      </c>
      <c r="F1385" s="12"/>
      <c r="G1385" s="12"/>
      <c r="H1385" s="12"/>
      <c r="I1385" s="13">
        <v>0</v>
      </c>
      <c r="J1385" s="13">
        <v>0</v>
      </c>
      <c r="K1385" s="14" t="str">
        <f t="shared" ref="K1385:K1386" si="220">HYPERLINK("http://twitter.com","Twitter Web Client")</f>
        <v>Twitter Web Client</v>
      </c>
      <c r="L1385" s="13">
        <v>37</v>
      </c>
      <c r="M1385" s="13">
        <v>199</v>
      </c>
      <c r="N1385" s="13">
        <v>0</v>
      </c>
      <c r="O1385" s="15"/>
      <c r="P1385" s="6">
        <v>41190.558159722219</v>
      </c>
      <c r="Q1385" s="12"/>
      <c r="R1385" s="19"/>
      <c r="S1385" s="12"/>
      <c r="T1385" s="12"/>
      <c r="U1385" s="16" t="s">
        <v>373</v>
      </c>
    </row>
    <row r="1386" spans="1:21" ht="51">
      <c r="A1386" s="6">
        <v>43426.952997685185</v>
      </c>
      <c r="B1386" s="7" t="str">
        <f>HYPERLINK("https://twitter.com/romanalvareda33","@romanalvareda33")</f>
        <v>@romanalvareda33</v>
      </c>
      <c r="C1386" s="8" t="s">
        <v>5369</v>
      </c>
      <c r="D1386" s="9" t="s">
        <v>5370</v>
      </c>
      <c r="E1386" s="10" t="str">
        <f>HYPERLINK("https://twitter.com/romanalvareda33/status/1065724685911056385","1065724685911056385")</f>
        <v>1065724685911056385</v>
      </c>
      <c r="F1386" s="12"/>
      <c r="G1386" s="12"/>
      <c r="H1386" s="12"/>
      <c r="I1386" s="13">
        <v>2</v>
      </c>
      <c r="J1386" s="13">
        <v>4</v>
      </c>
      <c r="K1386" s="14" t="str">
        <f t="shared" si="220"/>
        <v>Twitter Web Client</v>
      </c>
      <c r="L1386" s="13">
        <v>22</v>
      </c>
      <c r="M1386" s="13">
        <v>25</v>
      </c>
      <c r="N1386" s="13">
        <v>1</v>
      </c>
      <c r="O1386" s="15"/>
      <c r="P1386" s="6">
        <v>42471.558310185181</v>
      </c>
      <c r="Q1386" s="12"/>
      <c r="R1386" s="18" t="s">
        <v>5371</v>
      </c>
      <c r="S1386" s="12"/>
      <c r="T1386" s="12"/>
      <c r="U1386" s="10" t="str">
        <f>HYPERLINK("https://pbs.twimg.com/profile_images/1034031320769482753/Ovraqx_x.jpg","View")</f>
        <v>View</v>
      </c>
    </row>
    <row r="1387" spans="1:21" ht="20.399999999999999">
      <c r="A1387" s="6">
        <v>43426.952974537038</v>
      </c>
      <c r="B1387" s="7" t="str">
        <f>HYPERLINK("https://twitter.com/DhPardela","@DhPardela")</f>
        <v>@DhPardela</v>
      </c>
      <c r="C1387" s="8" t="s">
        <v>5372</v>
      </c>
      <c r="D1387" s="9" t="s">
        <v>5373</v>
      </c>
      <c r="E1387" s="10" t="str">
        <f>HYPERLINK("https://twitter.com/DhPardela/status/1065724676587102208","1065724676587102208")</f>
        <v>1065724676587102208</v>
      </c>
      <c r="F1387" s="11" t="s">
        <v>5374</v>
      </c>
      <c r="G1387" s="12"/>
      <c r="H1387" s="12"/>
      <c r="I1387" s="13">
        <v>0</v>
      </c>
      <c r="J1387" s="13">
        <v>0</v>
      </c>
      <c r="K1387" s="14" t="str">
        <f>HYPERLINK("http://twitter.com/download/iphone","Twitter for iPhone")</f>
        <v>Twitter for iPhone</v>
      </c>
      <c r="L1387" s="13">
        <v>1567</v>
      </c>
      <c r="M1387" s="13">
        <v>1563</v>
      </c>
      <c r="N1387" s="13">
        <v>50</v>
      </c>
      <c r="O1387" s="15"/>
      <c r="P1387" s="6">
        <v>41825.081226851849</v>
      </c>
      <c r="Q1387" s="17" t="s">
        <v>5375</v>
      </c>
      <c r="R1387" s="18" t="s">
        <v>5376</v>
      </c>
      <c r="S1387" s="12"/>
      <c r="T1387" s="12"/>
      <c r="U1387" s="10" t="str">
        <f>HYPERLINK("https://pbs.twimg.com/profile_images/1065036644116586499/CSRO6f1h.jpg","View")</f>
        <v>View</v>
      </c>
    </row>
    <row r="1388" spans="1:21" ht="30.6">
      <c r="A1388" s="6">
        <v>43426.952928240746</v>
      </c>
      <c r="B1388" s="7" t="str">
        <f>HYPERLINK("https://twitter.com/mcyava","@mcyava")</f>
        <v>@mcyava</v>
      </c>
      <c r="C1388" s="8" t="s">
        <v>3987</v>
      </c>
      <c r="D1388" s="9" t="s">
        <v>5377</v>
      </c>
      <c r="E1388" s="10" t="str">
        <f>HYPERLINK("https://twitter.com/mcyava/status/1065724659423985665","1065724659423985665")</f>
        <v>1065724659423985665</v>
      </c>
      <c r="F1388" s="11" t="s">
        <v>3631</v>
      </c>
      <c r="G1388" s="12"/>
      <c r="H1388" s="12"/>
      <c r="I1388" s="13">
        <v>4</v>
      </c>
      <c r="J1388" s="13">
        <v>6</v>
      </c>
      <c r="K1388" s="14" t="str">
        <f>HYPERLINK("http://twitter.com/download/android","Twitter for Android")</f>
        <v>Twitter for Android</v>
      </c>
      <c r="L1388" s="13">
        <v>16383</v>
      </c>
      <c r="M1388" s="13">
        <v>12698</v>
      </c>
      <c r="N1388" s="13">
        <v>88</v>
      </c>
      <c r="O1388" s="15"/>
      <c r="P1388" s="6">
        <v>40819.440150462964</v>
      </c>
      <c r="Q1388" s="17" t="s">
        <v>28</v>
      </c>
      <c r="R1388" s="18" t="s">
        <v>3993</v>
      </c>
      <c r="S1388" s="12"/>
      <c r="T1388" s="12"/>
      <c r="U1388" s="10" t="str">
        <f>HYPERLINK("https://pbs.twimg.com/profile_images/957202578210738176/msS95mss.jpg","View")</f>
        <v>View</v>
      </c>
    </row>
    <row r="1389" spans="1:21" ht="40.799999999999997">
      <c r="A1389" s="6">
        <v>43426.952372685184</v>
      </c>
      <c r="B1389" s="7" t="str">
        <f>HYPERLINK("https://twitter.com/PatriotaNene","@PatriotaNene")</f>
        <v>@PatriotaNene</v>
      </c>
      <c r="C1389" s="8" t="s">
        <v>5378</v>
      </c>
      <c r="D1389" s="9" t="s">
        <v>5379</v>
      </c>
      <c r="E1389" s="10" t="str">
        <f>HYPERLINK("https://twitter.com/PatriotaNene/status/1065724456167972866","1065724456167972866")</f>
        <v>1065724456167972866</v>
      </c>
      <c r="F1389" s="17" t="s">
        <v>5380</v>
      </c>
      <c r="G1389" s="12"/>
      <c r="H1389" s="12"/>
      <c r="I1389" s="13">
        <v>0</v>
      </c>
      <c r="J1389" s="13">
        <v>2</v>
      </c>
      <c r="K1389" s="14" t="str">
        <f t="shared" ref="K1389:K1390" si="221">HYPERLINK("http://twitter.com","Twitter Web Client")</f>
        <v>Twitter Web Client</v>
      </c>
      <c r="L1389" s="13">
        <v>8281</v>
      </c>
      <c r="M1389" s="13">
        <v>1965</v>
      </c>
      <c r="N1389" s="13">
        <v>50</v>
      </c>
      <c r="O1389" s="15"/>
      <c r="P1389" s="6">
        <v>42413.167222222226</v>
      </c>
      <c r="Q1389" s="17" t="s">
        <v>5381</v>
      </c>
      <c r="R1389" s="18" t="s">
        <v>5382</v>
      </c>
      <c r="S1389" s="12"/>
      <c r="T1389" s="12"/>
      <c r="U1389" s="10" t="str">
        <f>HYPERLINK("https://pbs.twimg.com/profile_images/984160089396441089/jXDkkxlk.jpg","View")</f>
        <v>View</v>
      </c>
    </row>
    <row r="1390" spans="1:21" ht="20.399999999999999">
      <c r="A1390" s="6">
        <v>43426.952314814815</v>
      </c>
      <c r="B1390" s="7" t="str">
        <f>HYPERLINK("https://twitter.com/Vinilo7","@Vinilo7")</f>
        <v>@Vinilo7</v>
      </c>
      <c r="C1390" s="8" t="s">
        <v>5383</v>
      </c>
      <c r="D1390" s="9" t="s">
        <v>2230</v>
      </c>
      <c r="E1390" s="10" t="str">
        <f>HYPERLINK("https://twitter.com/Vinilo7/status/1065724437432082434","1065724437432082434")</f>
        <v>1065724437432082434</v>
      </c>
      <c r="F1390" s="11" t="s">
        <v>2231</v>
      </c>
      <c r="G1390" s="12"/>
      <c r="H1390" s="12"/>
      <c r="I1390" s="13">
        <v>0</v>
      </c>
      <c r="J1390" s="13">
        <v>0</v>
      </c>
      <c r="K1390" s="14" t="str">
        <f t="shared" si="221"/>
        <v>Twitter Web Client</v>
      </c>
      <c r="L1390" s="13">
        <v>1095</v>
      </c>
      <c r="M1390" s="13">
        <v>1413</v>
      </c>
      <c r="N1390" s="13">
        <v>36</v>
      </c>
      <c r="O1390" s="15"/>
      <c r="P1390" s="6">
        <v>40643.022013888891</v>
      </c>
      <c r="Q1390" s="17" t="s">
        <v>5384</v>
      </c>
      <c r="R1390" s="19"/>
      <c r="S1390" s="12"/>
      <c r="T1390" s="12"/>
      <c r="U1390" s="10" t="str">
        <f>HYPERLINK("https://pbs.twimg.com/profile_images/827543676868030470/v55vilbm.jpg","View")</f>
        <v>View</v>
      </c>
    </row>
    <row r="1391" spans="1:21" ht="40.799999999999997">
      <c r="A1391" s="6">
        <v>43426.951666666668</v>
      </c>
      <c r="B1391" s="7" t="str">
        <f>HYPERLINK("https://twitter.com/toniblasco2","@toniblasco2")</f>
        <v>@toniblasco2</v>
      </c>
      <c r="C1391" s="8" t="s">
        <v>5385</v>
      </c>
      <c r="D1391" s="9" t="s">
        <v>5386</v>
      </c>
      <c r="E1391" s="10" t="str">
        <f>HYPERLINK("https://twitter.com/toniblasco2/status/1065724202223845377","1065724202223845377")</f>
        <v>1065724202223845377</v>
      </c>
      <c r="F1391" s="11" t="s">
        <v>5387</v>
      </c>
      <c r="G1391" s="12"/>
      <c r="H1391" s="12"/>
      <c r="I1391" s="13">
        <v>0</v>
      </c>
      <c r="J1391" s="13">
        <v>0</v>
      </c>
      <c r="K1391" s="14" t="str">
        <f>HYPERLINK("http://twitter.com/download/android","Twitter for Android")</f>
        <v>Twitter for Android</v>
      </c>
      <c r="L1391" s="13">
        <v>410</v>
      </c>
      <c r="M1391" s="13">
        <v>1059</v>
      </c>
      <c r="N1391" s="13">
        <v>43</v>
      </c>
      <c r="O1391" s="15"/>
      <c r="P1391" s="6">
        <v>41641.076435185183</v>
      </c>
      <c r="Q1391" s="12"/>
      <c r="R1391" s="18" t="s">
        <v>5388</v>
      </c>
      <c r="S1391" s="12"/>
      <c r="T1391" s="12"/>
      <c r="U1391" s="10" t="str">
        <f>HYPERLINK("https://pbs.twimg.com/profile_images/950937234752057344/uhGZjdU9.jpg","View")</f>
        <v>View</v>
      </c>
    </row>
    <row r="1392" spans="1:21" ht="40.799999999999997">
      <c r="A1392" s="6">
        <v>43426.951145833329</v>
      </c>
      <c r="B1392" s="7" t="str">
        <f>HYPERLINK("https://twitter.com/MiguelTrinidadA","@MiguelTrinidadA")</f>
        <v>@MiguelTrinidadA</v>
      </c>
      <c r="C1392" s="8" t="s">
        <v>5389</v>
      </c>
      <c r="D1392" s="9" t="s">
        <v>5390</v>
      </c>
      <c r="E1392" s="10" t="str">
        <f>HYPERLINK("https://twitter.com/MiguelTrinidadA/status/1065724012259667968","1065724012259667968")</f>
        <v>1065724012259667968</v>
      </c>
      <c r="F1392" s="11" t="s">
        <v>5391</v>
      </c>
      <c r="G1392" s="12"/>
      <c r="H1392" s="12"/>
      <c r="I1392" s="13">
        <v>0</v>
      </c>
      <c r="J1392" s="13">
        <v>0</v>
      </c>
      <c r="K1392" s="14" t="str">
        <f t="shared" ref="K1392:K1393" si="222">HYPERLINK("http://twitter.com","Twitter Web Client")</f>
        <v>Twitter Web Client</v>
      </c>
      <c r="L1392" s="13">
        <v>3513</v>
      </c>
      <c r="M1392" s="13">
        <v>3653</v>
      </c>
      <c r="N1392" s="13">
        <v>35</v>
      </c>
      <c r="O1392" s="15"/>
      <c r="P1392" s="6">
        <v>41180.740416666667</v>
      </c>
      <c r="Q1392" s="17" t="s">
        <v>28</v>
      </c>
      <c r="R1392" s="18" t="s">
        <v>5392</v>
      </c>
      <c r="S1392" s="12"/>
      <c r="T1392" s="12"/>
      <c r="U1392" s="10" t="str">
        <f>HYPERLINK("https://pbs.twimg.com/profile_images/843509060167262210/lz-DfFMm.jpg","View")</f>
        <v>View</v>
      </c>
    </row>
    <row r="1393" spans="1:21" ht="40.799999999999997">
      <c r="A1393" s="6">
        <v>43426.95113425926</v>
      </c>
      <c r="B1393" s="7" t="str">
        <f>HYPERLINK("https://twitter.com/falcarazfer","@falcarazfer")</f>
        <v>@falcarazfer</v>
      </c>
      <c r="C1393" s="8" t="s">
        <v>5393</v>
      </c>
      <c r="D1393" s="9" t="s">
        <v>5394</v>
      </c>
      <c r="E1393" s="10" t="str">
        <f>HYPERLINK("https://twitter.com/falcarazfer/status/1065724009352974337","1065724009352974337")</f>
        <v>1065724009352974337</v>
      </c>
      <c r="F1393" s="11" t="s">
        <v>5395</v>
      </c>
      <c r="G1393" s="12"/>
      <c r="H1393" s="12"/>
      <c r="I1393" s="13">
        <v>0</v>
      </c>
      <c r="J1393" s="13">
        <v>0</v>
      </c>
      <c r="K1393" s="14" t="str">
        <f t="shared" si="222"/>
        <v>Twitter Web Client</v>
      </c>
      <c r="L1393" s="13">
        <v>3519</v>
      </c>
      <c r="M1393" s="13">
        <v>3474</v>
      </c>
      <c r="N1393" s="13">
        <v>52</v>
      </c>
      <c r="O1393" s="15"/>
      <c r="P1393" s="6">
        <v>41687.861030092594</v>
      </c>
      <c r="Q1393" s="12"/>
      <c r="R1393" s="18" t="s">
        <v>5396</v>
      </c>
      <c r="S1393" s="12"/>
      <c r="T1393" s="12"/>
      <c r="U1393" s="10" t="str">
        <f>HYPERLINK("https://pbs.twimg.com/profile_images/459014754648879105/Dt4Ki-pT.png","View")</f>
        <v>View</v>
      </c>
    </row>
    <row r="1394" spans="1:21" ht="40.799999999999997">
      <c r="A1394" s="6">
        <v>43426.950497685189</v>
      </c>
      <c r="B1394" s="7" t="str">
        <f>HYPERLINK("https://twitter.com/Confraria_SEDR","@Confraria_SEDR")</f>
        <v>@Confraria_SEDR</v>
      </c>
      <c r="C1394" s="8" t="s">
        <v>5397</v>
      </c>
      <c r="D1394" s="9" t="s">
        <v>5398</v>
      </c>
      <c r="E1394" s="10" t="str">
        <f>HYPERLINK("https://twitter.com/Confraria_SEDR/status/1065723778372653063","1065723778372653063")</f>
        <v>1065723778372653063</v>
      </c>
      <c r="F1394" s="12"/>
      <c r="G1394" s="12"/>
      <c r="H1394" s="12"/>
      <c r="I1394" s="13">
        <v>1</v>
      </c>
      <c r="J1394" s="13">
        <v>1</v>
      </c>
      <c r="K1394" s="14" t="str">
        <f>HYPERLINK("https://mobile.twitter.com","Twitter Lite")</f>
        <v>Twitter Lite</v>
      </c>
      <c r="L1394" s="13">
        <v>2283</v>
      </c>
      <c r="M1394" s="13">
        <v>2247</v>
      </c>
      <c r="N1394" s="13">
        <v>10</v>
      </c>
      <c r="O1394" s="15"/>
      <c r="P1394" s="6">
        <v>43211.781400462962</v>
      </c>
      <c r="Q1394" s="17" t="s">
        <v>2097</v>
      </c>
      <c r="R1394" s="18" t="s">
        <v>5399</v>
      </c>
      <c r="S1394" s="12"/>
      <c r="T1394" s="12"/>
      <c r="U1394" s="10" t="str">
        <f>HYPERLINK("https://pbs.twimg.com/profile_images/987735438449430528/T2JllVAP.jpg","View")</f>
        <v>View</v>
      </c>
    </row>
    <row r="1395" spans="1:21" ht="40.799999999999997">
      <c r="A1395" s="6">
        <v>43426.950092592597</v>
      </c>
      <c r="B1395" s="7" t="str">
        <f>HYPERLINK("https://twitter.com/24horas_rne","@24horas_rne")</f>
        <v>@24horas_rne</v>
      </c>
      <c r="C1395" s="8" t="s">
        <v>5400</v>
      </c>
      <c r="D1395" s="9" t="s">
        <v>5401</v>
      </c>
      <c r="E1395" s="10" t="str">
        <f>HYPERLINK("https://twitter.com/24horas_rne/status/1065723630598926336","1065723630598926336")</f>
        <v>1065723630598926336</v>
      </c>
      <c r="F1395" s="11" t="s">
        <v>5402</v>
      </c>
      <c r="G1395" s="12"/>
      <c r="H1395" s="12"/>
      <c r="I1395" s="13">
        <v>1</v>
      </c>
      <c r="J1395" s="13">
        <v>2</v>
      </c>
      <c r="K1395" s="14" t="str">
        <f t="shared" ref="K1395:K1397" si="223">HYPERLINK("http://twitter.com","Twitter Web Client")</f>
        <v>Twitter Web Client</v>
      </c>
      <c r="L1395" s="13">
        <v>18784</v>
      </c>
      <c r="M1395" s="13">
        <v>955</v>
      </c>
      <c r="N1395" s="13">
        <v>369</v>
      </c>
      <c r="O1395" s="16" t="s">
        <v>26</v>
      </c>
      <c r="P1395" s="6">
        <v>40799.797037037039</v>
      </c>
      <c r="Q1395" s="12"/>
      <c r="R1395" s="18" t="s">
        <v>5403</v>
      </c>
      <c r="S1395" s="11" t="s">
        <v>5404</v>
      </c>
      <c r="T1395" s="12"/>
      <c r="U1395" s="10" t="str">
        <f>HYPERLINK("https://pbs.twimg.com/profile_images/1036571460033306626/IZelDMmt.jpg","View")</f>
        <v>View</v>
      </c>
    </row>
    <row r="1396" spans="1:21" ht="51">
      <c r="A1396" s="6">
        <v>43426.949722222227</v>
      </c>
      <c r="B1396" s="7" t="str">
        <f>HYPERLINK("https://twitter.com/josepgoded","@josepgoded")</f>
        <v>@josepgoded</v>
      </c>
      <c r="C1396" s="8" t="s">
        <v>5405</v>
      </c>
      <c r="D1396" s="9" t="s">
        <v>5406</v>
      </c>
      <c r="E1396" s="10" t="str">
        <f>HYPERLINK("https://twitter.com/josepgoded/status/1065723498860027906","1065723498860027906")</f>
        <v>1065723498860027906</v>
      </c>
      <c r="F1396" s="11" t="s">
        <v>2984</v>
      </c>
      <c r="G1396" s="12"/>
      <c r="H1396" s="12"/>
      <c r="I1396" s="13">
        <v>3</v>
      </c>
      <c r="J1396" s="13">
        <v>1</v>
      </c>
      <c r="K1396" s="14" t="str">
        <f t="shared" si="223"/>
        <v>Twitter Web Client</v>
      </c>
      <c r="L1396" s="13">
        <v>3400</v>
      </c>
      <c r="M1396" s="13">
        <v>425</v>
      </c>
      <c r="N1396" s="13">
        <v>56</v>
      </c>
      <c r="O1396" s="15"/>
      <c r="P1396" s="6">
        <v>42614.719490740739</v>
      </c>
      <c r="Q1396" s="17" t="s">
        <v>5407</v>
      </c>
      <c r="R1396" s="18" t="s">
        <v>5408</v>
      </c>
      <c r="S1396" s="11" t="s">
        <v>5409</v>
      </c>
      <c r="T1396" s="12"/>
      <c r="U1396" s="10" t="str">
        <f>HYPERLINK("https://pbs.twimg.com/profile_images/825470296866037760/fzP3LsXx.jpg","View")</f>
        <v>View</v>
      </c>
    </row>
    <row r="1397" spans="1:21" ht="40.799999999999997">
      <c r="A1397" s="6">
        <v>43426.949571759258</v>
      </c>
      <c r="B1397" s="7" t="str">
        <f>HYPERLINK("https://twitter.com/ramsoc47_Acrata","@ramsoc47_Acrata")</f>
        <v>@ramsoc47_Acrata</v>
      </c>
      <c r="C1397" s="8" t="s">
        <v>66</v>
      </c>
      <c r="D1397" s="9" t="s">
        <v>3630</v>
      </c>
      <c r="E1397" s="10" t="str">
        <f>HYPERLINK("https://twitter.com/ramsoc47_Acrata/status/1065723443130310661","1065723443130310661")</f>
        <v>1065723443130310661</v>
      </c>
      <c r="F1397" s="11" t="s">
        <v>3631</v>
      </c>
      <c r="G1397" s="12"/>
      <c r="H1397" s="12"/>
      <c r="I1397" s="13">
        <v>0</v>
      </c>
      <c r="J1397" s="13">
        <v>0</v>
      </c>
      <c r="K1397" s="14" t="str">
        <f t="shared" si="223"/>
        <v>Twitter Web Client</v>
      </c>
      <c r="L1397" s="13">
        <v>1439</v>
      </c>
      <c r="M1397" s="13">
        <v>1092</v>
      </c>
      <c r="N1397" s="13">
        <v>11</v>
      </c>
      <c r="O1397" s="15"/>
      <c r="P1397" s="6">
        <v>41510.799641203703</v>
      </c>
      <c r="Q1397" s="17" t="s">
        <v>70</v>
      </c>
      <c r="R1397" s="18" t="s">
        <v>71</v>
      </c>
      <c r="S1397" s="11" t="s">
        <v>75</v>
      </c>
      <c r="T1397" s="12"/>
      <c r="U1397" s="10" t="str">
        <f>HYPERLINK("https://pbs.twimg.com/profile_images/1034212770261225475/OW1JbxWF.jpg","View")</f>
        <v>View</v>
      </c>
    </row>
    <row r="1398" spans="1:21" ht="20.399999999999999">
      <c r="A1398" s="6">
        <v>43426.949571759258</v>
      </c>
      <c r="B1398" s="7" t="str">
        <f>HYPERLINK("https://twitter.com/Karycaicedo","@Karycaicedo")</f>
        <v>@Karycaicedo</v>
      </c>
      <c r="C1398" s="8" t="s">
        <v>5410</v>
      </c>
      <c r="D1398" s="9" t="s">
        <v>3630</v>
      </c>
      <c r="E1398" s="10" t="str">
        <f>HYPERLINK("https://twitter.com/Karycaicedo/status/1065723442547367938","1065723442547367938")</f>
        <v>1065723442547367938</v>
      </c>
      <c r="F1398" s="11" t="s">
        <v>3631</v>
      </c>
      <c r="G1398" s="12"/>
      <c r="H1398" s="12"/>
      <c r="I1398" s="13">
        <v>0</v>
      </c>
      <c r="J1398" s="13">
        <v>0</v>
      </c>
      <c r="K1398" s="14" t="str">
        <f>HYPERLINK("http://twitter.com/download/android","Twitter for Android")</f>
        <v>Twitter for Android</v>
      </c>
      <c r="L1398" s="13">
        <v>2189</v>
      </c>
      <c r="M1398" s="13">
        <v>2421</v>
      </c>
      <c r="N1398" s="13">
        <v>66</v>
      </c>
      <c r="O1398" s="15"/>
      <c r="P1398" s="6">
        <v>40746.535138888888</v>
      </c>
      <c r="Q1398" s="17" t="s">
        <v>5411</v>
      </c>
      <c r="R1398" s="18" t="s">
        <v>5412</v>
      </c>
      <c r="S1398" s="12"/>
      <c r="T1398" s="12"/>
      <c r="U1398" s="10" t="str">
        <f>HYPERLINK("https://pbs.twimg.com/profile_images/1040548637988855808/_FNQnNG8.jpg","View")</f>
        <v>View</v>
      </c>
    </row>
    <row r="1399" spans="1:21" ht="40.799999999999997">
      <c r="A1399" s="6">
        <v>43426.949490740742</v>
      </c>
      <c r="B1399" s="7" t="str">
        <f>HYPERLINK("https://twitter.com/llerices","@llerices")</f>
        <v>@llerices</v>
      </c>
      <c r="C1399" s="8" t="s">
        <v>5413</v>
      </c>
      <c r="D1399" s="9" t="s">
        <v>5414</v>
      </c>
      <c r="E1399" s="10" t="str">
        <f>HYPERLINK("https://twitter.com/llerices/status/1065723412755165185","1065723412755165185")</f>
        <v>1065723412755165185</v>
      </c>
      <c r="F1399" s="11" t="s">
        <v>5415</v>
      </c>
      <c r="G1399" s="12"/>
      <c r="H1399" s="12"/>
      <c r="I1399" s="13">
        <v>0</v>
      </c>
      <c r="J1399" s="13">
        <v>0</v>
      </c>
      <c r="K1399" s="14" t="str">
        <f>HYPERLINK("http://twitter.com","Twitter Web Client")</f>
        <v>Twitter Web Client</v>
      </c>
      <c r="L1399" s="13">
        <v>647</v>
      </c>
      <c r="M1399" s="13">
        <v>682</v>
      </c>
      <c r="N1399" s="13">
        <v>12</v>
      </c>
      <c r="O1399" s="15"/>
      <c r="P1399" s="6">
        <v>40444.951342592591</v>
      </c>
      <c r="Q1399" s="17" t="s">
        <v>5416</v>
      </c>
      <c r="R1399" s="18" t="s">
        <v>5417</v>
      </c>
      <c r="S1399" s="12"/>
      <c r="T1399" s="12"/>
      <c r="U1399" s="10" t="str">
        <f>HYPERLINK("https://pbs.twimg.com/profile_images/670899507400482816/kPZQ71Og.jpg","View")</f>
        <v>View</v>
      </c>
    </row>
    <row r="1400" spans="1:21" ht="40.799999999999997">
      <c r="A1400" s="6">
        <v>43426.94935185185</v>
      </c>
      <c r="B1400" s="7" t="str">
        <f>HYPERLINK("https://twitter.com/ingenius6","@ingenius6")</f>
        <v>@ingenius6</v>
      </c>
      <c r="C1400" s="8" t="s">
        <v>5418</v>
      </c>
      <c r="D1400" s="9" t="s">
        <v>4946</v>
      </c>
      <c r="E1400" s="10" t="str">
        <f>HYPERLINK("https://twitter.com/ingenius6/status/1065723362146689025","1065723362146689025")</f>
        <v>1065723362146689025</v>
      </c>
      <c r="F1400" s="11" t="s">
        <v>5419</v>
      </c>
      <c r="G1400" s="12"/>
      <c r="H1400" s="12"/>
      <c r="I1400" s="13">
        <v>1</v>
      </c>
      <c r="J1400" s="13">
        <v>0</v>
      </c>
      <c r="K1400" s="14" t="str">
        <f>HYPERLINK("http://www.facebook.com/twitter","Facebook")</f>
        <v>Facebook</v>
      </c>
      <c r="L1400" s="13">
        <v>19018</v>
      </c>
      <c r="M1400" s="13">
        <v>20902</v>
      </c>
      <c r="N1400" s="13">
        <v>172</v>
      </c>
      <c r="O1400" s="15"/>
      <c r="P1400" s="6">
        <v>40805.938703703701</v>
      </c>
      <c r="Q1400" s="17" t="s">
        <v>5420</v>
      </c>
      <c r="R1400" s="18" t="s">
        <v>5421</v>
      </c>
      <c r="S1400" s="11" t="s">
        <v>5422</v>
      </c>
      <c r="T1400" s="12"/>
      <c r="U1400" s="10" t="str">
        <f>HYPERLINK("https://pbs.twimg.com/profile_images/1009118694499405827/4_hLyU6A.jpg","View")</f>
        <v>View</v>
      </c>
    </row>
    <row r="1401" spans="1:21" ht="40.799999999999997">
      <c r="A1401" s="6">
        <v>43426.948831018519</v>
      </c>
      <c r="B1401" s="7" t="str">
        <f>HYPERLINK("https://twitter.com/jmesdi3","@jmesdi3")</f>
        <v>@jmesdi3</v>
      </c>
      <c r="C1401" s="8" t="s">
        <v>5423</v>
      </c>
      <c r="D1401" s="9" t="s">
        <v>5424</v>
      </c>
      <c r="E1401" s="10" t="str">
        <f>HYPERLINK("https://twitter.com/jmesdi3/status/1065723175156293633","1065723175156293633")</f>
        <v>1065723175156293633</v>
      </c>
      <c r="F1401" s="11" t="s">
        <v>5425</v>
      </c>
      <c r="G1401" s="12"/>
      <c r="H1401" s="12"/>
      <c r="I1401" s="13">
        <v>0</v>
      </c>
      <c r="J1401" s="13">
        <v>0</v>
      </c>
      <c r="K1401" s="14" t="str">
        <f>HYPERLINK("http://twitter.com/download/android","Twitter for Android")</f>
        <v>Twitter for Android</v>
      </c>
      <c r="L1401" s="13">
        <v>1045</v>
      </c>
      <c r="M1401" s="13">
        <v>1025</v>
      </c>
      <c r="N1401" s="13">
        <v>11</v>
      </c>
      <c r="O1401" s="15"/>
      <c r="P1401" s="6">
        <v>42383.096412037034</v>
      </c>
      <c r="Q1401" s="17" t="s">
        <v>878</v>
      </c>
      <c r="R1401" s="18" t="s">
        <v>5426</v>
      </c>
      <c r="S1401" s="12"/>
      <c r="T1401" s="12"/>
      <c r="U1401" s="10" t="str">
        <f>HYPERLINK("https://pbs.twimg.com/profile_images/687448638109409282/14j1PvR9.jpg","View")</f>
        <v>View</v>
      </c>
    </row>
    <row r="1402" spans="1:21" ht="71.400000000000006">
      <c r="A1402" s="6">
        <v>43426.948136574079</v>
      </c>
      <c r="B1402" s="7" t="str">
        <f>HYPERLINK("https://twitter.com/dasriasbaixas","@dasriasbaixas")</f>
        <v>@dasriasbaixas</v>
      </c>
      <c r="C1402" s="8" t="s">
        <v>5427</v>
      </c>
      <c r="D1402" s="9" t="s">
        <v>5428</v>
      </c>
      <c r="E1402" s="10" t="str">
        <f>HYPERLINK("https://twitter.com/dasriasbaixas/status/1065722922109739008","1065722922109739008")</f>
        <v>1065722922109739008</v>
      </c>
      <c r="F1402" s="11" t="s">
        <v>120</v>
      </c>
      <c r="G1402" s="12"/>
      <c r="H1402" s="12"/>
      <c r="I1402" s="13">
        <v>0</v>
      </c>
      <c r="J1402" s="13">
        <v>0</v>
      </c>
      <c r="K1402" s="14" t="str">
        <f>HYPERLINK("http://twitter.com","Twitter Web Client")</f>
        <v>Twitter Web Client</v>
      </c>
      <c r="L1402" s="13">
        <v>299</v>
      </c>
      <c r="M1402" s="13">
        <v>370</v>
      </c>
      <c r="N1402" s="13">
        <v>0</v>
      </c>
      <c r="O1402" s="15"/>
      <c r="P1402" s="6">
        <v>42861.238344907411</v>
      </c>
      <c r="Q1402" s="17" t="s">
        <v>28</v>
      </c>
      <c r="R1402" s="18" t="s">
        <v>5429</v>
      </c>
      <c r="S1402" s="12"/>
      <c r="T1402" s="12"/>
      <c r="U1402" s="10" t="str">
        <f>HYPERLINK("https://pbs.twimg.com/profile_images/1033863578661601286/qNErK7Zu.jpg","View")</f>
        <v>View</v>
      </c>
    </row>
    <row r="1403" spans="1:21" ht="20.399999999999999">
      <c r="A1403" s="6">
        <v>43426.947418981479</v>
      </c>
      <c r="B1403" s="7" t="str">
        <f>HYPERLINK("https://twitter.com/RadioUnionTfe","@RadioUnionTfe")</f>
        <v>@RadioUnionTfe</v>
      </c>
      <c r="C1403" s="8" t="s">
        <v>5430</v>
      </c>
      <c r="D1403" s="9" t="s">
        <v>5431</v>
      </c>
      <c r="E1403" s="10" t="str">
        <f>HYPERLINK("https://twitter.com/RadioUnionTfe/status/1065722662767476736","1065722662767476736")</f>
        <v>1065722662767476736</v>
      </c>
      <c r="F1403" s="11" t="s">
        <v>5432</v>
      </c>
      <c r="G1403" s="12"/>
      <c r="H1403" s="12"/>
      <c r="I1403" s="13">
        <v>0</v>
      </c>
      <c r="J1403" s="13">
        <v>0</v>
      </c>
      <c r="K1403" s="14" t="str">
        <f>HYPERLINK("http://twitter.com/download/android","Twitter for Android")</f>
        <v>Twitter for Android</v>
      </c>
      <c r="L1403" s="13">
        <v>168</v>
      </c>
      <c r="M1403" s="13">
        <v>63</v>
      </c>
      <c r="N1403" s="13">
        <v>1</v>
      </c>
      <c r="O1403" s="15"/>
      <c r="P1403" s="6">
        <v>40749.728564814817</v>
      </c>
      <c r="Q1403" s="12"/>
      <c r="R1403" s="19"/>
      <c r="S1403" s="12"/>
      <c r="T1403" s="12"/>
      <c r="U1403" s="10" t="str">
        <f>HYPERLINK("https://pbs.twimg.com/profile_images/912725003900211200/tvZWR99g.jpg","View")</f>
        <v>View</v>
      </c>
    </row>
    <row r="1404" spans="1:21" ht="40.799999999999997">
      <c r="A1404" s="6">
        <v>43426.947141203702</v>
      </c>
      <c r="B1404" s="7" t="str">
        <f>HYPERLINK("https://twitter.com/RNE5continentes","@RNE5continentes")</f>
        <v>@RNE5continentes</v>
      </c>
      <c r="C1404" s="8" t="s">
        <v>5433</v>
      </c>
      <c r="D1404" s="9" t="s">
        <v>5434</v>
      </c>
      <c r="E1404" s="10" t="str">
        <f>HYPERLINK("https://twitter.com/RNE5continentes/status/1065722563123453954","1065722563123453954")</f>
        <v>1065722563123453954</v>
      </c>
      <c r="F1404" s="11" t="s">
        <v>5435</v>
      </c>
      <c r="G1404" s="11" t="s">
        <v>5436</v>
      </c>
      <c r="H1404" s="12"/>
      <c r="I1404" s="13">
        <v>1</v>
      </c>
      <c r="J1404" s="13">
        <v>2</v>
      </c>
      <c r="K1404" s="14" t="str">
        <f>HYPERLINK("http://twitter.com","Twitter Web Client")</f>
        <v>Twitter Web Client</v>
      </c>
      <c r="L1404" s="13">
        <v>4354</v>
      </c>
      <c r="M1404" s="13">
        <v>745</v>
      </c>
      <c r="N1404" s="13">
        <v>131</v>
      </c>
      <c r="O1404" s="15"/>
      <c r="P1404" s="6">
        <v>42262.705555555556</v>
      </c>
      <c r="Q1404" s="12"/>
      <c r="R1404" s="18" t="s">
        <v>5437</v>
      </c>
      <c r="S1404" s="11" t="s">
        <v>5438</v>
      </c>
      <c r="T1404" s="12"/>
      <c r="U1404" s="10" t="str">
        <f>HYPERLINK("https://pbs.twimg.com/profile_images/643805774184120320/S-zrzGed.jpg","View")</f>
        <v>View</v>
      </c>
    </row>
    <row r="1405" spans="1:21" ht="40.799999999999997">
      <c r="A1405" s="6">
        <v>43426.947083333333</v>
      </c>
      <c r="B1405" s="7" t="str">
        <f>HYPERLINK("https://twitter.com/holidayshappy96","@holidayshappy96")</f>
        <v>@holidayshappy96</v>
      </c>
      <c r="C1405" s="8" t="s">
        <v>5439</v>
      </c>
      <c r="D1405" s="9" t="s">
        <v>5440</v>
      </c>
      <c r="E1405" s="10" t="str">
        <f>HYPERLINK("https://twitter.com/holidayshappy96/status/1065722541908606976","1065722541908606976")</f>
        <v>1065722541908606976</v>
      </c>
      <c r="F1405" s="12"/>
      <c r="G1405" s="11" t="s">
        <v>5441</v>
      </c>
      <c r="H1405" s="12"/>
      <c r="I1405" s="13">
        <v>1</v>
      </c>
      <c r="J1405" s="13">
        <v>5</v>
      </c>
      <c r="K1405" s="14" t="str">
        <f>HYPERLINK("http://twitter.com/download/iphone","Twitter for iPhone")</f>
        <v>Twitter for iPhone</v>
      </c>
      <c r="L1405" s="13">
        <v>1831</v>
      </c>
      <c r="M1405" s="13">
        <v>1570</v>
      </c>
      <c r="N1405" s="13">
        <v>13</v>
      </c>
      <c r="O1405" s="15"/>
      <c r="P1405" s="6">
        <v>41246.751655092594</v>
      </c>
      <c r="Q1405" s="17" t="s">
        <v>5442</v>
      </c>
      <c r="R1405" s="18" t="s">
        <v>5443</v>
      </c>
      <c r="S1405" s="12"/>
      <c r="T1405" s="12"/>
      <c r="U1405" s="10" t="str">
        <f>HYPERLINK("https://pbs.twimg.com/profile_images/880911570183827456/aUecPs9u.jpg","View")</f>
        <v>View</v>
      </c>
    </row>
    <row r="1406" spans="1:21" ht="40.799999999999997">
      <c r="A1406" s="6">
        <v>43426.946250000001</v>
      </c>
      <c r="B1406" s="7" t="str">
        <f>HYPERLINK("https://twitter.com/20m","@20m")</f>
        <v>@20m</v>
      </c>
      <c r="C1406" s="20" t="s">
        <v>3651</v>
      </c>
      <c r="D1406" s="9" t="s">
        <v>5444</v>
      </c>
      <c r="E1406" s="10" t="str">
        <f>HYPERLINK("https://twitter.com/20m/status/1065722240644382720","1065722240644382720")</f>
        <v>1065722240644382720</v>
      </c>
      <c r="F1406" s="11" t="s">
        <v>5432</v>
      </c>
      <c r="G1406" s="12"/>
      <c r="H1406" s="12"/>
      <c r="I1406" s="13">
        <v>4</v>
      </c>
      <c r="J1406" s="13">
        <v>10</v>
      </c>
      <c r="K1406" s="14" t="str">
        <f>HYPERLINK("http://dogtrack.es","DogTrack_Oficial")</f>
        <v>DogTrack_Oficial</v>
      </c>
      <c r="L1406" s="13">
        <v>1353063</v>
      </c>
      <c r="M1406" s="13">
        <v>51110</v>
      </c>
      <c r="N1406" s="13">
        <v>14081</v>
      </c>
      <c r="O1406" s="16" t="s">
        <v>26</v>
      </c>
      <c r="P1406" s="6">
        <v>39917.485891203702</v>
      </c>
      <c r="Q1406" s="17" t="s">
        <v>436</v>
      </c>
      <c r="R1406" s="18" t="s">
        <v>3653</v>
      </c>
      <c r="S1406" s="11" t="s">
        <v>3654</v>
      </c>
      <c r="T1406" s="12"/>
      <c r="U1406" s="10" t="str">
        <f>HYPERLINK("https://pbs.twimg.com/profile_images/1013670314285420544/gwCE6EJr.jpg","View")</f>
        <v>View</v>
      </c>
    </row>
    <row r="1407" spans="1:21" ht="20.399999999999999">
      <c r="A1407" s="6">
        <v>43426.945902777778</v>
      </c>
      <c r="B1407" s="7" t="str">
        <f>HYPERLINK("https://twitter.com/PaulPineda","@PaulPineda")</f>
        <v>@PaulPineda</v>
      </c>
      <c r="C1407" s="8" t="s">
        <v>5445</v>
      </c>
      <c r="D1407" s="9" t="s">
        <v>5446</v>
      </c>
      <c r="E1407" s="10" t="str">
        <f>HYPERLINK("https://twitter.com/PaulPineda/status/1065722113854717953","1065722113854717953")</f>
        <v>1065722113854717953</v>
      </c>
      <c r="F1407" s="12"/>
      <c r="G1407" s="12"/>
      <c r="H1407" s="12"/>
      <c r="I1407" s="13">
        <v>0</v>
      </c>
      <c r="J1407" s="13">
        <v>0</v>
      </c>
      <c r="K1407" s="14" t="str">
        <f>HYPERLINK("http://twitter.com/download/android","Twitter for Android")</f>
        <v>Twitter for Android</v>
      </c>
      <c r="L1407" s="13">
        <v>6309</v>
      </c>
      <c r="M1407" s="13">
        <v>6520</v>
      </c>
      <c r="N1407" s="13">
        <v>92</v>
      </c>
      <c r="O1407" s="15"/>
      <c r="P1407" s="6">
        <v>40133.893460648149</v>
      </c>
      <c r="Q1407" s="17" t="s">
        <v>5447</v>
      </c>
      <c r="R1407" s="18" t="s">
        <v>5448</v>
      </c>
      <c r="S1407" s="12"/>
      <c r="T1407" s="12"/>
      <c r="U1407" s="10" t="str">
        <f>HYPERLINK("https://pbs.twimg.com/profile_images/1013142408039747585/rp0lFLSC.jpg","View")</f>
        <v>View</v>
      </c>
    </row>
    <row r="1408" spans="1:21" ht="20.399999999999999">
      <c r="A1408" s="6">
        <v>43426.945104166662</v>
      </c>
      <c r="B1408" s="7" t="str">
        <f>HYPERLINK("https://twitter.com/FBermejo_indp","@FBermejo_indp")</f>
        <v>@FBermejo_indp</v>
      </c>
      <c r="C1408" s="8" t="s">
        <v>5449</v>
      </c>
      <c r="D1408" s="9" t="s">
        <v>3630</v>
      </c>
      <c r="E1408" s="10" t="str">
        <f>HYPERLINK("https://twitter.com/FBermejo_indp/status/1065721821377503233","1065721821377503233")</f>
        <v>1065721821377503233</v>
      </c>
      <c r="F1408" s="11" t="s">
        <v>3631</v>
      </c>
      <c r="G1408" s="12"/>
      <c r="H1408" s="12"/>
      <c r="I1408" s="13">
        <v>0</v>
      </c>
      <c r="J1408" s="13">
        <v>0</v>
      </c>
      <c r="K1408" s="14" t="str">
        <f t="shared" ref="K1408:K1409" si="224">HYPERLINK("http://twitter.com","Twitter Web Client")</f>
        <v>Twitter Web Client</v>
      </c>
      <c r="L1408" s="13">
        <v>457</v>
      </c>
      <c r="M1408" s="13">
        <v>127</v>
      </c>
      <c r="N1408" s="13">
        <v>12</v>
      </c>
      <c r="O1408" s="15"/>
      <c r="P1408" s="6">
        <v>42627.474814814814</v>
      </c>
      <c r="Q1408" s="17" t="s">
        <v>141</v>
      </c>
      <c r="R1408" s="18" t="s">
        <v>5450</v>
      </c>
      <c r="S1408" s="11" t="s">
        <v>2570</v>
      </c>
      <c r="T1408" s="12"/>
      <c r="U1408" s="10" t="str">
        <f>HYPERLINK("https://pbs.twimg.com/profile_images/775989835786051584/xfdLJXGB.jpg","View")</f>
        <v>View</v>
      </c>
    </row>
    <row r="1409" spans="1:21" ht="40.799999999999997">
      <c r="A1409" s="6">
        <v>43426.944745370369</v>
      </c>
      <c r="B1409" s="7" t="str">
        <f>HYPERLINK("https://twitter.com/RNE5continentes","@RNE5continentes")</f>
        <v>@RNE5continentes</v>
      </c>
      <c r="C1409" s="8" t="s">
        <v>5433</v>
      </c>
      <c r="D1409" s="9" t="s">
        <v>5451</v>
      </c>
      <c r="E1409" s="10" t="str">
        <f>HYPERLINK("https://twitter.com/RNE5continentes/status/1065721691299618822","1065721691299618822")</f>
        <v>1065721691299618822</v>
      </c>
      <c r="F1409" s="11" t="s">
        <v>5452</v>
      </c>
      <c r="G1409" s="11" t="s">
        <v>5453</v>
      </c>
      <c r="H1409" s="12"/>
      <c r="I1409" s="13">
        <v>4</v>
      </c>
      <c r="J1409" s="13">
        <v>2</v>
      </c>
      <c r="K1409" s="14" t="str">
        <f t="shared" si="224"/>
        <v>Twitter Web Client</v>
      </c>
      <c r="L1409" s="13">
        <v>4354</v>
      </c>
      <c r="M1409" s="13">
        <v>745</v>
      </c>
      <c r="N1409" s="13">
        <v>131</v>
      </c>
      <c r="O1409" s="15"/>
      <c r="P1409" s="6">
        <v>42262.705555555556</v>
      </c>
      <c r="Q1409" s="12"/>
      <c r="R1409" s="18" t="s">
        <v>5437</v>
      </c>
      <c r="S1409" s="11" t="s">
        <v>5438</v>
      </c>
      <c r="T1409" s="12"/>
      <c r="U1409" s="10" t="str">
        <f>HYPERLINK("https://pbs.twimg.com/profile_images/643805774184120320/S-zrzGed.jpg","View")</f>
        <v>View</v>
      </c>
    </row>
    <row r="1410" spans="1:21" ht="30.6">
      <c r="A1410" s="6">
        <v>43426.944293981476</v>
      </c>
      <c r="B1410" s="7" t="str">
        <f>HYPERLINK("https://twitter.com/cjespinosas","@cjespinosas")</f>
        <v>@cjespinosas</v>
      </c>
      <c r="C1410" s="8" t="s">
        <v>5454</v>
      </c>
      <c r="D1410" s="9" t="s">
        <v>5455</v>
      </c>
      <c r="E1410" s="10" t="str">
        <f>HYPERLINK("https://twitter.com/cjespinosas/status/1065721531010113536","1065721531010113536")</f>
        <v>1065721531010113536</v>
      </c>
      <c r="F1410" s="11" t="s">
        <v>5456</v>
      </c>
      <c r="G1410" s="12"/>
      <c r="H1410" s="12"/>
      <c r="I1410" s="13">
        <v>1</v>
      </c>
      <c r="J1410" s="13">
        <v>0</v>
      </c>
      <c r="K1410" s="14" t="str">
        <f>HYPERLINK("https://www.hootsuite.com","Hootsuite Inc.")</f>
        <v>Hootsuite Inc.</v>
      </c>
      <c r="L1410" s="13">
        <v>1005</v>
      </c>
      <c r="M1410" s="13">
        <v>1047</v>
      </c>
      <c r="N1410" s="13">
        <v>86</v>
      </c>
      <c r="O1410" s="15"/>
      <c r="P1410" s="6">
        <v>41125.996666666666</v>
      </c>
      <c r="Q1410" s="17" t="s">
        <v>5457</v>
      </c>
      <c r="R1410" s="18" t="s">
        <v>5458</v>
      </c>
      <c r="S1410" s="12"/>
      <c r="T1410" s="12"/>
      <c r="U1410" s="10" t="str">
        <f>HYPERLINK("https://pbs.twimg.com/profile_images/1020807013297778688/xGdN6tdj.jpg","View")</f>
        <v>View</v>
      </c>
    </row>
    <row r="1411" spans="1:21" ht="40.799999999999997">
      <c r="A1411" s="6">
        <v>43426.943807870368</v>
      </c>
      <c r="B1411" s="7" t="str">
        <f>HYPERLINK("https://twitter.com/mst1953","@mst1953")</f>
        <v>@mst1953</v>
      </c>
      <c r="C1411" s="8" t="s">
        <v>5459</v>
      </c>
      <c r="D1411" s="9" t="s">
        <v>5460</v>
      </c>
      <c r="E1411" s="10" t="str">
        <f>HYPERLINK("https://twitter.com/mst1953/status/1065721352697593856","1065721352697593856")</f>
        <v>1065721352697593856</v>
      </c>
      <c r="F1411" s="11" t="s">
        <v>5461</v>
      </c>
      <c r="G1411" s="12"/>
      <c r="H1411" s="12"/>
      <c r="I1411" s="13">
        <v>0</v>
      </c>
      <c r="J1411" s="13">
        <v>0</v>
      </c>
      <c r="K1411" s="14" t="str">
        <f>HYPERLINK("http://twitter.com","Twitter Web Client")</f>
        <v>Twitter Web Client</v>
      </c>
      <c r="L1411" s="13">
        <v>3449</v>
      </c>
      <c r="M1411" s="13">
        <v>1752</v>
      </c>
      <c r="N1411" s="13">
        <v>44</v>
      </c>
      <c r="O1411" s="15"/>
      <c r="P1411" s="6">
        <v>40854.81490740741</v>
      </c>
      <c r="Q1411" s="17" t="s">
        <v>870</v>
      </c>
      <c r="R1411" s="18" t="s">
        <v>5462</v>
      </c>
      <c r="S1411" s="12"/>
      <c r="T1411" s="12"/>
      <c r="U1411" s="10" t="str">
        <f>HYPERLINK("https://pbs.twimg.com/profile_images/1034868921671843841/IaIT-c4l.jpg","View")</f>
        <v>View</v>
      </c>
    </row>
    <row r="1412" spans="1:21" ht="40.799999999999997">
      <c r="A1412" s="6">
        <v>43426.943645833337</v>
      </c>
      <c r="B1412" s="7" t="str">
        <f>HYPERLINK("https://twitter.com/RadioCarmena","@RadioCarmena")</f>
        <v>@RadioCarmena</v>
      </c>
      <c r="C1412" s="8" t="s">
        <v>5463</v>
      </c>
      <c r="D1412" s="9" t="s">
        <v>5464</v>
      </c>
      <c r="E1412" s="10" t="str">
        <f>HYPERLINK("https://twitter.com/RadioCarmena/status/1065721294983970816","1065721294983970816")</f>
        <v>1065721294983970816</v>
      </c>
      <c r="F1412" s="11" t="s">
        <v>5098</v>
      </c>
      <c r="G1412" s="12"/>
      <c r="H1412" s="12"/>
      <c r="I1412" s="13">
        <v>1</v>
      </c>
      <c r="J1412" s="13">
        <v>1</v>
      </c>
      <c r="K1412" s="14" t="str">
        <f>HYPERLINK("http://twitter.com/#!/download/ipad","Twitter for iPad")</f>
        <v>Twitter for iPad</v>
      </c>
      <c r="L1412" s="13">
        <v>5921</v>
      </c>
      <c r="M1412" s="13">
        <v>4732</v>
      </c>
      <c r="N1412" s="13">
        <v>42</v>
      </c>
      <c r="O1412" s="15"/>
      <c r="P1412" s="6">
        <v>42555.848877314813</v>
      </c>
      <c r="Q1412" s="17" t="s">
        <v>5465</v>
      </c>
      <c r="R1412" s="18" t="s">
        <v>5466</v>
      </c>
      <c r="S1412" s="12"/>
      <c r="T1412" s="12"/>
      <c r="U1412" s="10" t="str">
        <f>HYPERLINK("https://pbs.twimg.com/profile_images/1050828055462248448/BHlbNWRd.jpg","View")</f>
        <v>View</v>
      </c>
    </row>
    <row r="1413" spans="1:21" ht="40.799999999999997">
      <c r="A1413" s="6">
        <v>43426.94358796296</v>
      </c>
      <c r="B1413" s="7" t="str">
        <f>HYPERLINK("https://twitter.com/BlaancaNiieves","@BlaancaNiieves")</f>
        <v>@BlaancaNiieves</v>
      </c>
      <c r="C1413" s="8" t="s">
        <v>5467</v>
      </c>
      <c r="D1413" s="9" t="s">
        <v>5468</v>
      </c>
      <c r="E1413" s="10" t="str">
        <f>HYPERLINK("https://twitter.com/BlaancaNiieves/status/1065721273039405057","1065721273039405057")</f>
        <v>1065721273039405057</v>
      </c>
      <c r="F1413" s="11" t="s">
        <v>4922</v>
      </c>
      <c r="G1413" s="12"/>
      <c r="H1413" s="12"/>
      <c r="I1413" s="13">
        <v>2</v>
      </c>
      <c r="J1413" s="13">
        <v>0</v>
      </c>
      <c r="K1413" s="14" t="str">
        <f t="shared" ref="K1413:K1414" si="225">HYPERLINK("http://twitter.com","Twitter Web Client")</f>
        <v>Twitter Web Client</v>
      </c>
      <c r="L1413" s="13">
        <v>12765</v>
      </c>
      <c r="M1413" s="13">
        <v>7062</v>
      </c>
      <c r="N1413" s="13">
        <v>179</v>
      </c>
      <c r="O1413" s="15"/>
      <c r="P1413" s="6">
        <v>40831.473078703704</v>
      </c>
      <c r="Q1413" s="17" t="s">
        <v>28</v>
      </c>
      <c r="R1413" s="18" t="s">
        <v>5469</v>
      </c>
      <c r="S1413" s="12"/>
      <c r="T1413" s="12"/>
      <c r="U1413" s="10" t="str">
        <f>HYPERLINK("https://pbs.twimg.com/profile_images/2470680169/wsbnexryuc29zw10olvt.jpeg","View")</f>
        <v>View</v>
      </c>
    </row>
    <row r="1414" spans="1:21" ht="71.400000000000006">
      <c r="A1414" s="6">
        <v>43426.942962962959</v>
      </c>
      <c r="B1414" s="7" t="str">
        <f>HYPERLINK("https://twitter.com/elgrillohispano","@elgrillohispano")</f>
        <v>@elgrillohispano</v>
      </c>
      <c r="C1414" s="8" t="s">
        <v>4941</v>
      </c>
      <c r="D1414" s="9" t="s">
        <v>5470</v>
      </c>
      <c r="E1414" s="10" t="str">
        <f>HYPERLINK("https://twitter.com/elgrillohispano/status/1065721045330604038","1065721045330604038")</f>
        <v>1065721045330604038</v>
      </c>
      <c r="F1414" s="11" t="s">
        <v>2429</v>
      </c>
      <c r="G1414" s="12"/>
      <c r="H1414" s="12"/>
      <c r="I1414" s="13">
        <v>0</v>
      </c>
      <c r="J1414" s="13">
        <v>0</v>
      </c>
      <c r="K1414" s="14" t="str">
        <f t="shared" si="225"/>
        <v>Twitter Web Client</v>
      </c>
      <c r="L1414" s="13">
        <v>753</v>
      </c>
      <c r="M1414" s="13">
        <v>1122</v>
      </c>
      <c r="N1414" s="13">
        <v>20</v>
      </c>
      <c r="O1414" s="15"/>
      <c r="P1414" s="6">
        <v>40837.094050925924</v>
      </c>
      <c r="Q1414" s="17" t="s">
        <v>4943</v>
      </c>
      <c r="R1414" s="18" t="s">
        <v>4944</v>
      </c>
      <c r="S1414" s="12"/>
      <c r="T1414" s="12"/>
      <c r="U1414" s="10" t="str">
        <f>HYPERLINK("https://pbs.twimg.com/profile_images/476705551909265408/6lNjULWd.jpeg","View")</f>
        <v>View</v>
      </c>
    </row>
    <row r="1415" spans="1:21" ht="40.799999999999997">
      <c r="A1415" s="6">
        <v>43426.942696759259</v>
      </c>
      <c r="B1415" s="7" t="str">
        <f>HYPERLINK("https://twitter.com/mst1953","@mst1953")</f>
        <v>@mst1953</v>
      </c>
      <c r="C1415" s="8" t="s">
        <v>5459</v>
      </c>
      <c r="D1415" s="9" t="s">
        <v>5471</v>
      </c>
      <c r="E1415" s="10" t="str">
        <f>HYPERLINK("https://twitter.com/mst1953/status/1065720952581963777","1065720952581963777")</f>
        <v>1065720952581963777</v>
      </c>
      <c r="F1415" s="11" t="s">
        <v>5472</v>
      </c>
      <c r="G1415" s="12"/>
      <c r="H1415" s="12"/>
      <c r="I1415" s="13">
        <v>0</v>
      </c>
      <c r="J1415" s="13">
        <v>0</v>
      </c>
      <c r="K1415" s="14" t="str">
        <f>HYPERLINK("http://www.facebook.com/twitter","Facebook")</f>
        <v>Facebook</v>
      </c>
      <c r="L1415" s="13">
        <v>3449</v>
      </c>
      <c r="M1415" s="13">
        <v>1752</v>
      </c>
      <c r="N1415" s="13">
        <v>44</v>
      </c>
      <c r="O1415" s="15"/>
      <c r="P1415" s="6">
        <v>40854.81490740741</v>
      </c>
      <c r="Q1415" s="17" t="s">
        <v>870</v>
      </c>
      <c r="R1415" s="18" t="s">
        <v>5462</v>
      </c>
      <c r="S1415" s="12"/>
      <c r="T1415" s="12"/>
      <c r="U1415" s="10" t="str">
        <f>HYPERLINK("https://pbs.twimg.com/profile_images/1034868921671843841/IaIT-c4l.jpg","View")</f>
        <v>View</v>
      </c>
    </row>
    <row r="1416" spans="1:21" ht="30.6">
      <c r="A1416" s="6">
        <v>43426.942511574074</v>
      </c>
      <c r="B1416" s="7" t="str">
        <f>HYPERLINK("https://twitter.com/PepitaMenaMart1","@PepitaMenaMart1")</f>
        <v>@PepitaMenaMart1</v>
      </c>
      <c r="C1416" s="8" t="s">
        <v>4171</v>
      </c>
      <c r="D1416" s="9" t="s">
        <v>2295</v>
      </c>
      <c r="E1416" s="10" t="str">
        <f>HYPERLINK("https://twitter.com/PepitaMenaMart1/status/1065720884198031362","1065720884198031362")</f>
        <v>1065720884198031362</v>
      </c>
      <c r="F1416" s="11" t="s">
        <v>1820</v>
      </c>
      <c r="G1416" s="12"/>
      <c r="H1416" s="12"/>
      <c r="I1416" s="13">
        <v>0</v>
      </c>
      <c r="J1416" s="13">
        <v>0</v>
      </c>
      <c r="K1416" s="14" t="str">
        <f t="shared" ref="K1416:K1417" si="226">HYPERLINK("http://twitter.com/download/android","Twitter for Android")</f>
        <v>Twitter for Android</v>
      </c>
      <c r="L1416" s="13">
        <v>408</v>
      </c>
      <c r="M1416" s="13">
        <v>334</v>
      </c>
      <c r="N1416" s="13">
        <v>1</v>
      </c>
      <c r="O1416" s="15"/>
      <c r="P1416" s="6">
        <v>43124.888506944444</v>
      </c>
      <c r="Q1416" s="17" t="s">
        <v>4175</v>
      </c>
      <c r="R1416" s="18" t="s">
        <v>4176</v>
      </c>
      <c r="S1416" s="12"/>
      <c r="T1416" s="12"/>
      <c r="U1416" s="10" t="str">
        <f>HYPERLINK("https://pbs.twimg.com/profile_images/1053410905311064064/xChXdA8v.jpg","View")</f>
        <v>View</v>
      </c>
    </row>
    <row r="1417" spans="1:21" ht="20.399999999999999">
      <c r="A1417" s="6">
        <v>43426.942060185189</v>
      </c>
      <c r="B1417" s="7" t="str">
        <f>HYPERLINK("https://twitter.com/Perona10690463","@Perona10690463")</f>
        <v>@Perona10690463</v>
      </c>
      <c r="C1417" s="8" t="s">
        <v>434</v>
      </c>
      <c r="D1417" s="9" t="s">
        <v>5473</v>
      </c>
      <c r="E1417" s="10" t="str">
        <f>HYPERLINK("https://twitter.com/Perona10690463/status/1065720721115152384","1065720721115152384")</f>
        <v>1065720721115152384</v>
      </c>
      <c r="F1417" s="12"/>
      <c r="G1417" s="11" t="s">
        <v>5474</v>
      </c>
      <c r="H1417" s="12"/>
      <c r="I1417" s="13">
        <v>2</v>
      </c>
      <c r="J1417" s="13">
        <v>6</v>
      </c>
      <c r="K1417" s="14" t="str">
        <f t="shared" si="226"/>
        <v>Twitter for Android</v>
      </c>
      <c r="L1417" s="13">
        <v>1171</v>
      </c>
      <c r="M1417" s="13">
        <v>877</v>
      </c>
      <c r="N1417" s="13">
        <v>15</v>
      </c>
      <c r="O1417" s="15"/>
      <c r="P1417" s="6">
        <v>42673.617951388893</v>
      </c>
      <c r="Q1417" s="17" t="s">
        <v>438</v>
      </c>
      <c r="R1417" s="18" t="s">
        <v>439</v>
      </c>
      <c r="S1417" s="12"/>
      <c r="T1417" s="12"/>
      <c r="U1417" s="10" t="str">
        <f>HYPERLINK("https://pbs.twimg.com/profile_images/980073260976046080/0KP5-Pxo.jpg","View")</f>
        <v>View</v>
      </c>
    </row>
    <row r="1418" spans="1:21" ht="40.799999999999997">
      <c r="A1418" s="6">
        <v>43426.942037037035</v>
      </c>
      <c r="B1418" s="7" t="str">
        <f>HYPERLINK("https://twitter.com/mst1953","@mst1953")</f>
        <v>@mst1953</v>
      </c>
      <c r="C1418" s="8" t="s">
        <v>5459</v>
      </c>
      <c r="D1418" s="9" t="s">
        <v>5475</v>
      </c>
      <c r="E1418" s="10" t="str">
        <f>HYPERLINK("https://twitter.com/mst1953/status/1065720713011757063","1065720713011757063")</f>
        <v>1065720713011757063</v>
      </c>
      <c r="F1418" s="11" t="s">
        <v>5476</v>
      </c>
      <c r="G1418" s="12"/>
      <c r="H1418" s="12"/>
      <c r="I1418" s="13">
        <v>0</v>
      </c>
      <c r="J1418" s="13">
        <v>0</v>
      </c>
      <c r="K1418" s="14" t="str">
        <f>HYPERLINK("http://www.facebook.com/twitter","Facebook")</f>
        <v>Facebook</v>
      </c>
      <c r="L1418" s="13">
        <v>3449</v>
      </c>
      <c r="M1418" s="13">
        <v>1752</v>
      </c>
      <c r="N1418" s="13">
        <v>44</v>
      </c>
      <c r="O1418" s="15"/>
      <c r="P1418" s="6">
        <v>40854.81490740741</v>
      </c>
      <c r="Q1418" s="17" t="s">
        <v>870</v>
      </c>
      <c r="R1418" s="18" t="s">
        <v>5462</v>
      </c>
      <c r="S1418" s="12"/>
      <c r="T1418" s="12"/>
      <c r="U1418" s="10" t="str">
        <f>HYPERLINK("https://pbs.twimg.com/profile_images/1034868921671843841/IaIT-c4l.jpg","View")</f>
        <v>View</v>
      </c>
    </row>
    <row r="1419" spans="1:21" ht="40.799999999999997">
      <c r="A1419" s="6">
        <v>43426.941747685181</v>
      </c>
      <c r="B1419" s="7" t="str">
        <f>HYPERLINK("https://twitter.com/elnacionalcat_e","@elnacionalcat_e")</f>
        <v>@elnacionalcat_e</v>
      </c>
      <c r="C1419" s="8" t="s">
        <v>3404</v>
      </c>
      <c r="D1419" s="9" t="s">
        <v>3405</v>
      </c>
      <c r="E1419" s="10" t="str">
        <f>HYPERLINK("https://twitter.com/elnacionalcat_e/status/1065720608204439559","1065720608204439559")</f>
        <v>1065720608204439559</v>
      </c>
      <c r="F1419" s="11" t="s">
        <v>3406</v>
      </c>
      <c r="G1419" s="12"/>
      <c r="H1419" s="12"/>
      <c r="I1419" s="13">
        <v>0</v>
      </c>
      <c r="J1419" s="13">
        <v>0</v>
      </c>
      <c r="K1419" s="14" t="str">
        <f>HYPERLINK("https://about.twitter.com/products/tweetdeck","TweetDeck")</f>
        <v>TweetDeck</v>
      </c>
      <c r="L1419" s="13">
        <v>5489</v>
      </c>
      <c r="M1419" s="13">
        <v>355</v>
      </c>
      <c r="N1419" s="13">
        <v>167</v>
      </c>
      <c r="O1419" s="15"/>
      <c r="P1419" s="6">
        <v>42247.840567129635</v>
      </c>
      <c r="Q1419" s="17" t="s">
        <v>3407</v>
      </c>
      <c r="R1419" s="18" t="s">
        <v>3408</v>
      </c>
      <c r="S1419" s="11" t="s">
        <v>3409</v>
      </c>
      <c r="T1419" s="12"/>
      <c r="U1419" s="10" t="str">
        <f>HYPERLINK("https://pbs.twimg.com/profile_images/646298514385960960/VEutSP7L.png","View")</f>
        <v>View</v>
      </c>
    </row>
    <row r="1420" spans="1:21" ht="51">
      <c r="A1420" s="6">
        <v>43426.939849537041</v>
      </c>
      <c r="B1420" s="7" t="str">
        <f>HYPERLINK("https://twitter.com/holidayshappy96","@holidayshappy96")</f>
        <v>@holidayshappy96</v>
      </c>
      <c r="C1420" s="8" t="s">
        <v>5439</v>
      </c>
      <c r="D1420" s="9" t="s">
        <v>5477</v>
      </c>
      <c r="E1420" s="10" t="str">
        <f>HYPERLINK("https://twitter.com/holidayshappy96/status/1065719920913276934","1065719920913276934")</f>
        <v>1065719920913276934</v>
      </c>
      <c r="F1420" s="12"/>
      <c r="G1420" s="11" t="s">
        <v>5478</v>
      </c>
      <c r="H1420" s="12"/>
      <c r="I1420" s="13">
        <v>1</v>
      </c>
      <c r="J1420" s="13">
        <v>3</v>
      </c>
      <c r="K1420" s="14" t="str">
        <f>HYPERLINK("http://twitter.com/download/iphone","Twitter for iPhone")</f>
        <v>Twitter for iPhone</v>
      </c>
      <c r="L1420" s="13">
        <v>1831</v>
      </c>
      <c r="M1420" s="13">
        <v>1570</v>
      </c>
      <c r="N1420" s="13">
        <v>13</v>
      </c>
      <c r="O1420" s="15"/>
      <c r="P1420" s="6">
        <v>41246.751655092594</v>
      </c>
      <c r="Q1420" s="17" t="s">
        <v>5442</v>
      </c>
      <c r="R1420" s="18" t="s">
        <v>5443</v>
      </c>
      <c r="S1420" s="12"/>
      <c r="T1420" s="12"/>
      <c r="U1420" s="10" t="str">
        <f>HYPERLINK("https://pbs.twimg.com/profile_images/880911570183827456/aUecPs9u.jpg","View")</f>
        <v>View</v>
      </c>
    </row>
    <row r="1421" spans="1:21" ht="40.799999999999997">
      <c r="A1421" s="6">
        <v>43426.938877314809</v>
      </c>
      <c r="B1421" s="7" t="str">
        <f>HYPERLINK("https://twitter.com/esperanzaec","@esperanzaec")</f>
        <v>@esperanzaec</v>
      </c>
      <c r="C1421" s="8" t="s">
        <v>5479</v>
      </c>
      <c r="D1421" s="9" t="s">
        <v>5480</v>
      </c>
      <c r="E1421" s="10" t="str">
        <f>HYPERLINK("https://twitter.com/esperanzaec/status/1065719566406479874","1065719566406479874")</f>
        <v>1065719566406479874</v>
      </c>
      <c r="F1421" s="11" t="s">
        <v>120</v>
      </c>
      <c r="G1421" s="12"/>
      <c r="H1421" s="12"/>
      <c r="I1421" s="13">
        <v>0</v>
      </c>
      <c r="J1421" s="13">
        <v>0</v>
      </c>
      <c r="K1421" s="14" t="str">
        <f>HYPERLINK("http://twitter.com/download/android","Twitter for Android")</f>
        <v>Twitter for Android</v>
      </c>
      <c r="L1421" s="13">
        <v>3247</v>
      </c>
      <c r="M1421" s="13">
        <v>2157</v>
      </c>
      <c r="N1421" s="13">
        <v>119</v>
      </c>
      <c r="O1421" s="15"/>
      <c r="P1421" s="6">
        <v>40402.030578703707</v>
      </c>
      <c r="Q1421" s="17" t="s">
        <v>191</v>
      </c>
      <c r="R1421" s="18" t="s">
        <v>5481</v>
      </c>
      <c r="S1421" s="11" t="s">
        <v>5482</v>
      </c>
      <c r="T1421" s="12"/>
      <c r="U1421" s="10" t="str">
        <f>HYPERLINK("https://pbs.twimg.com/profile_images/1045722459994034177/SiPJ0Cl1.jpg","View")</f>
        <v>View</v>
      </c>
    </row>
    <row r="1422" spans="1:21" ht="30.6">
      <c r="A1422" s="6">
        <v>43426.938715277778</v>
      </c>
      <c r="B1422" s="7" t="str">
        <f>HYPERLINK("https://twitter.com/periodicovzlano","@periodicovzlano")</f>
        <v>@periodicovzlano</v>
      </c>
      <c r="C1422" s="8" t="s">
        <v>97</v>
      </c>
      <c r="D1422" s="9" t="s">
        <v>98</v>
      </c>
      <c r="E1422" s="10" t="str">
        <f>HYPERLINK("https://twitter.com/periodicovzlano/status/1065719509984653313","1065719509984653313")</f>
        <v>1065719509984653313</v>
      </c>
      <c r="F1422" s="11" t="s">
        <v>99</v>
      </c>
      <c r="G1422" s="11" t="s">
        <v>5483</v>
      </c>
      <c r="H1422" s="12"/>
      <c r="I1422" s="13">
        <v>0</v>
      </c>
      <c r="J1422" s="13">
        <v>1</v>
      </c>
      <c r="K1422" s="14" t="str">
        <f>HYPERLINK("http://epmundo.com","Tuiteo TOP EP (1)")</f>
        <v>Tuiteo TOP EP (1)</v>
      </c>
      <c r="L1422" s="13">
        <v>479592</v>
      </c>
      <c r="M1422" s="13">
        <v>359153</v>
      </c>
      <c r="N1422" s="13">
        <v>1296</v>
      </c>
      <c r="O1422" s="15"/>
      <c r="P1422" s="6">
        <v>40663.3512962963</v>
      </c>
      <c r="Q1422" s="17" t="s">
        <v>104</v>
      </c>
      <c r="R1422" s="18" t="s">
        <v>105</v>
      </c>
      <c r="S1422" s="11" t="s">
        <v>106</v>
      </c>
      <c r="T1422" s="12"/>
      <c r="U1422" s="10" t="str">
        <f>HYPERLINK("https://pbs.twimg.com/profile_images/958328579250638849/MCz7Q8U6.jpg","View")</f>
        <v>View</v>
      </c>
    </row>
    <row r="1423" spans="1:21" ht="20.399999999999999">
      <c r="A1423" s="6">
        <v>43426.937951388885</v>
      </c>
      <c r="B1423" s="7" t="str">
        <f>HYPERLINK("https://twitter.com/Alphonsus1975","@Alphonsus1975")</f>
        <v>@Alphonsus1975</v>
      </c>
      <c r="C1423" s="8" t="s">
        <v>5484</v>
      </c>
      <c r="D1423" s="9" t="s">
        <v>640</v>
      </c>
      <c r="E1423" s="10" t="str">
        <f>HYPERLINK("https://twitter.com/Alphonsus1975/status/1065719233303273472","1065719233303273472")</f>
        <v>1065719233303273472</v>
      </c>
      <c r="F1423" s="11" t="s">
        <v>641</v>
      </c>
      <c r="G1423" s="12"/>
      <c r="H1423" s="12"/>
      <c r="I1423" s="13">
        <v>0</v>
      </c>
      <c r="J1423" s="13">
        <v>1</v>
      </c>
      <c r="K1423" s="14" t="str">
        <f>HYPERLINK("http://twitter.com/download/android","Twitter for Android")</f>
        <v>Twitter for Android</v>
      </c>
      <c r="L1423" s="13">
        <v>678</v>
      </c>
      <c r="M1423" s="13">
        <v>2087</v>
      </c>
      <c r="N1423" s="13">
        <v>4</v>
      </c>
      <c r="O1423" s="15"/>
      <c r="P1423" s="6">
        <v>41465.682800925926</v>
      </c>
      <c r="Q1423" s="17" t="s">
        <v>5485</v>
      </c>
      <c r="R1423" s="18" t="s">
        <v>5486</v>
      </c>
      <c r="S1423" s="11" t="s">
        <v>5487</v>
      </c>
      <c r="T1423" s="12"/>
      <c r="U1423" s="10" t="str">
        <f>HYPERLINK("https://pbs.twimg.com/profile_images/618089005100474369/1DUab7PM.jpg","View")</f>
        <v>View</v>
      </c>
    </row>
    <row r="1424" spans="1:21" ht="30.6">
      <c r="A1424" s="6">
        <v>43426.937719907408</v>
      </c>
      <c r="B1424" s="7" t="str">
        <f>HYPERLINK("https://twitter.com/laopinioncoruna","@laopinioncoruna")</f>
        <v>@laopinioncoruna</v>
      </c>
      <c r="C1424" s="8" t="s">
        <v>5488</v>
      </c>
      <c r="D1424" s="9" t="s">
        <v>5489</v>
      </c>
      <c r="E1424" s="10" t="str">
        <f>HYPERLINK("https://twitter.com/laopinioncoruna/status/1065719146246230017","1065719146246230017")</f>
        <v>1065719146246230017</v>
      </c>
      <c r="F1424" s="11" t="s">
        <v>5490</v>
      </c>
      <c r="G1424" s="12"/>
      <c r="H1424" s="12"/>
      <c r="I1424" s="13">
        <v>0</v>
      </c>
      <c r="J1424" s="13">
        <v>0</v>
      </c>
      <c r="K1424" s="14" t="str">
        <f>HYPERLINK("https://www.hootsuite.com","Hootsuite Inc.")</f>
        <v>Hootsuite Inc.</v>
      </c>
      <c r="L1424" s="13">
        <v>27314</v>
      </c>
      <c r="M1424" s="13">
        <v>1246</v>
      </c>
      <c r="N1424" s="13">
        <v>612</v>
      </c>
      <c r="O1424" s="16" t="s">
        <v>26</v>
      </c>
      <c r="P1424" s="6">
        <v>39696.860451388886</v>
      </c>
      <c r="Q1424" s="17" t="s">
        <v>2613</v>
      </c>
      <c r="R1424" s="18" t="s">
        <v>5491</v>
      </c>
      <c r="S1424" s="11" t="s">
        <v>5492</v>
      </c>
      <c r="T1424" s="12"/>
      <c r="U1424" s="10" t="str">
        <f>HYPERLINK("https://pbs.twimg.com/profile_images/877532506110779392/yihxNpV3.jpg","View")</f>
        <v>View</v>
      </c>
    </row>
    <row r="1425" spans="1:21" ht="20.399999999999999">
      <c r="A1425" s="6">
        <v>43426.936967592592</v>
      </c>
      <c r="B1425" s="7" t="str">
        <f>HYPERLINK("https://twitter.com/caencomonueces","@caencomonueces")</f>
        <v>@caencomonueces</v>
      </c>
      <c r="C1425" s="8" t="s">
        <v>4902</v>
      </c>
      <c r="D1425" s="9" t="s">
        <v>1143</v>
      </c>
      <c r="E1425" s="10" t="str">
        <f>HYPERLINK("https://twitter.com/caencomonueces/status/1065718874681823232","1065718874681823232")</f>
        <v>1065718874681823232</v>
      </c>
      <c r="F1425" s="11" t="s">
        <v>5493</v>
      </c>
      <c r="G1425" s="12"/>
      <c r="H1425" s="12"/>
      <c r="I1425" s="13">
        <v>0</v>
      </c>
      <c r="J1425" s="13">
        <v>1</v>
      </c>
      <c r="K1425" s="14" t="str">
        <f>HYPERLINK("http://twitter.com/download/android","Twitter for Android")</f>
        <v>Twitter for Android</v>
      </c>
      <c r="L1425" s="13">
        <v>629</v>
      </c>
      <c r="M1425" s="13">
        <v>1153</v>
      </c>
      <c r="N1425" s="13">
        <v>3</v>
      </c>
      <c r="O1425" s="15"/>
      <c r="P1425" s="6">
        <v>41242.801539351851</v>
      </c>
      <c r="Q1425" s="17" t="s">
        <v>436</v>
      </c>
      <c r="R1425" s="18" t="s">
        <v>4903</v>
      </c>
      <c r="S1425" s="12"/>
      <c r="T1425" s="12"/>
      <c r="U1425" s="10" t="str">
        <f>HYPERLINK("https://pbs.twimg.com/profile_images/802542076420378628/S_52YFJA.jpg","View")</f>
        <v>View</v>
      </c>
    </row>
    <row r="1426" spans="1:21" ht="20.399999999999999">
      <c r="A1426" s="6">
        <v>43426.936759259261</v>
      </c>
      <c r="B1426" s="7" t="str">
        <f>HYPERLINK("https://twitter.com/BobEstropajo","@BobEstropajo")</f>
        <v>@BobEstropajo</v>
      </c>
      <c r="C1426" s="8" t="s">
        <v>2932</v>
      </c>
      <c r="D1426" s="9" t="s">
        <v>5494</v>
      </c>
      <c r="E1426" s="10" t="str">
        <f>HYPERLINK("https://twitter.com/BobEstropajo/status/1065718799956148225","1065718799956148225")</f>
        <v>1065718799956148225</v>
      </c>
      <c r="F1426" s="12"/>
      <c r="G1426" s="11" t="s">
        <v>5495</v>
      </c>
      <c r="H1426" s="12"/>
      <c r="I1426" s="13">
        <v>5</v>
      </c>
      <c r="J1426" s="13">
        <v>12</v>
      </c>
      <c r="K1426" s="14" t="str">
        <f>HYPERLINK("http://twitter.com","Twitter Web Client")</f>
        <v>Twitter Web Client</v>
      </c>
      <c r="L1426" s="13">
        <v>86431</v>
      </c>
      <c r="M1426" s="13">
        <v>4128</v>
      </c>
      <c r="N1426" s="13">
        <v>770</v>
      </c>
      <c r="O1426" s="15"/>
      <c r="P1426" s="6">
        <v>41892.038900462961</v>
      </c>
      <c r="Q1426" s="17" t="s">
        <v>2934</v>
      </c>
      <c r="R1426" s="18" t="s">
        <v>2935</v>
      </c>
      <c r="S1426" s="11" t="s">
        <v>2936</v>
      </c>
      <c r="T1426" s="12"/>
      <c r="U1426" s="10" t="str">
        <f>HYPERLINK("https://pbs.twimg.com/profile_images/1059213646692315136/5KWHyXrN.jpg","View")</f>
        <v>View</v>
      </c>
    </row>
    <row r="1427" spans="1:21" ht="40.799999999999997">
      <c r="A1427" s="6">
        <v>43426.936481481476</v>
      </c>
      <c r="B1427" s="7" t="str">
        <f>HYPERLINK("https://twitter.com/Diegobc23","@Diegobc23")</f>
        <v>@Diegobc23</v>
      </c>
      <c r="C1427" s="8" t="s">
        <v>5496</v>
      </c>
      <c r="D1427" s="9" t="s">
        <v>5497</v>
      </c>
      <c r="E1427" s="10" t="str">
        <f>HYPERLINK("https://twitter.com/Diegobc23/status/1065718699200532482","1065718699200532482")</f>
        <v>1065718699200532482</v>
      </c>
      <c r="F1427" s="11" t="s">
        <v>2352</v>
      </c>
      <c r="G1427" s="12"/>
      <c r="H1427" s="12"/>
      <c r="I1427" s="13">
        <v>1</v>
      </c>
      <c r="J1427" s="13">
        <v>0</v>
      </c>
      <c r="K1427" s="14" t="str">
        <f>HYPERLINK("http://twitter.com/download/iphone","Twitter for iPhone")</f>
        <v>Twitter for iPhone</v>
      </c>
      <c r="L1427" s="13">
        <v>1196</v>
      </c>
      <c r="M1427" s="13">
        <v>296</v>
      </c>
      <c r="N1427" s="13">
        <v>29</v>
      </c>
      <c r="O1427" s="15"/>
      <c r="P1427" s="6">
        <v>40470.010428240741</v>
      </c>
      <c r="Q1427" s="17" t="s">
        <v>141</v>
      </c>
      <c r="R1427" s="18" t="s">
        <v>5498</v>
      </c>
      <c r="S1427" s="11" t="s">
        <v>5499</v>
      </c>
      <c r="T1427" s="12"/>
      <c r="U1427" s="10" t="str">
        <f>HYPERLINK("https://pbs.twimg.com/profile_images/726747393673334784/JG8xUgKL.jpg","View")</f>
        <v>View</v>
      </c>
    </row>
    <row r="1428" spans="1:21" ht="20.399999999999999">
      <c r="A1428" s="6">
        <v>43426.93586805556</v>
      </c>
      <c r="B1428" s="7" t="str">
        <f>HYPERLINK("https://twitter.com/carlachiguire","@carlachiguire")</f>
        <v>@carlachiguire</v>
      </c>
      <c r="C1428" s="8" t="s">
        <v>5500</v>
      </c>
      <c r="D1428" s="9" t="s">
        <v>2088</v>
      </c>
      <c r="E1428" s="10" t="str">
        <f>HYPERLINK("https://twitter.com/carlachiguire/status/1065718477518966784","1065718477518966784")</f>
        <v>1065718477518966784</v>
      </c>
      <c r="F1428" s="11" t="s">
        <v>2089</v>
      </c>
      <c r="G1428" s="12"/>
      <c r="H1428" s="12"/>
      <c r="I1428" s="13">
        <v>0</v>
      </c>
      <c r="J1428" s="13">
        <v>0</v>
      </c>
      <c r="K1428" s="14" t="str">
        <f>HYPERLINK("http://twitter.com","Twitter Web Client")</f>
        <v>Twitter Web Client</v>
      </c>
      <c r="L1428" s="13">
        <v>1763</v>
      </c>
      <c r="M1428" s="13">
        <v>1954</v>
      </c>
      <c r="N1428" s="13">
        <v>20</v>
      </c>
      <c r="O1428" s="15"/>
      <c r="P1428" s="6">
        <v>40226.152488425927</v>
      </c>
      <c r="Q1428" s="17" t="s">
        <v>5501</v>
      </c>
      <c r="R1428" s="18" t="s">
        <v>5502</v>
      </c>
      <c r="S1428" s="12"/>
      <c r="T1428" s="12"/>
      <c r="U1428" s="10" t="str">
        <f>HYPERLINK("https://pbs.twimg.com/profile_images/1726174736/carla.jpg","View")</f>
        <v>View</v>
      </c>
    </row>
    <row r="1429" spans="1:21" ht="40.799999999999997">
      <c r="A1429" s="6">
        <v>43426.935787037037</v>
      </c>
      <c r="B1429" s="7" t="str">
        <f>HYPERLINK("https://twitter.com/Eze7652Prez","@Eze7652Prez")</f>
        <v>@Eze7652Prez</v>
      </c>
      <c r="C1429" s="8" t="s">
        <v>5503</v>
      </c>
      <c r="D1429" s="9" t="s">
        <v>5504</v>
      </c>
      <c r="E1429" s="10" t="str">
        <f>HYPERLINK("https://twitter.com/Eze7652Prez/status/1065718448603496449","1065718448603496449")</f>
        <v>1065718448603496449</v>
      </c>
      <c r="F1429" s="11" t="s">
        <v>1776</v>
      </c>
      <c r="G1429" s="12"/>
      <c r="H1429" s="12"/>
      <c r="I1429" s="13">
        <v>3</v>
      </c>
      <c r="J1429" s="13">
        <v>5</v>
      </c>
      <c r="K1429" s="14" t="str">
        <f>HYPERLINK("http://twitter.com/download/iphone","Twitter for iPhone")</f>
        <v>Twitter for iPhone</v>
      </c>
      <c r="L1429" s="13">
        <v>2843</v>
      </c>
      <c r="M1429" s="13">
        <v>3262</v>
      </c>
      <c r="N1429" s="13">
        <v>50</v>
      </c>
      <c r="O1429" s="15"/>
      <c r="P1429" s="6">
        <v>41354.816111111111</v>
      </c>
      <c r="Q1429" s="17" t="s">
        <v>5506</v>
      </c>
      <c r="R1429" s="18" t="s">
        <v>5508</v>
      </c>
      <c r="S1429" s="12"/>
      <c r="T1429" s="12"/>
      <c r="U1429" s="10" t="str">
        <f>HYPERLINK("https://pbs.twimg.com/profile_images/990649437360984065/_GCqA2rM.jpg","View")</f>
        <v>View</v>
      </c>
    </row>
    <row r="1430" spans="1:21" ht="30.6">
      <c r="A1430" s="6">
        <v>43426.934525462959</v>
      </c>
      <c r="B1430" s="7" t="str">
        <f>HYPERLINK("https://twitter.com/aquilavida","@aquilavida")</f>
        <v>@aquilavida</v>
      </c>
      <c r="C1430" s="8" t="s">
        <v>2241</v>
      </c>
      <c r="D1430" s="9" t="s">
        <v>5510</v>
      </c>
      <c r="E1430" s="10" t="str">
        <f>HYPERLINK("https://twitter.com/aquilavida/status/1065717989520142343","1065717989520142343")</f>
        <v>1065717989520142343</v>
      </c>
      <c r="F1430" s="11" t="s">
        <v>5511</v>
      </c>
      <c r="G1430" s="12"/>
      <c r="H1430" s="12"/>
      <c r="I1430" s="13">
        <v>0</v>
      </c>
      <c r="J1430" s="13">
        <v>0</v>
      </c>
      <c r="K1430" s="14" t="str">
        <f>HYPERLINK("https://ifttt.com","IFTTT")</f>
        <v>IFTTT</v>
      </c>
      <c r="L1430" s="13">
        <v>240</v>
      </c>
      <c r="M1430" s="13">
        <v>233</v>
      </c>
      <c r="N1430" s="13">
        <v>55</v>
      </c>
      <c r="O1430" s="15"/>
      <c r="P1430" s="6">
        <v>40665.698576388888</v>
      </c>
      <c r="Q1430" s="17" t="s">
        <v>72</v>
      </c>
      <c r="R1430" s="18" t="s">
        <v>2244</v>
      </c>
      <c r="S1430" s="12"/>
      <c r="T1430" s="12"/>
      <c r="U1430" s="10" t="str">
        <f>HYPERLINK("https://pbs.twimg.com/profile_images/1658515048/image.jpg","View")</f>
        <v>View</v>
      </c>
    </row>
    <row r="1431" spans="1:21" ht="20.399999999999999">
      <c r="A1431" s="6">
        <v>43426.933101851857</v>
      </c>
      <c r="B1431" s="7" t="str">
        <f>HYPERLINK("https://twitter.com/BUENHECTOR","@BUENHECTOR")</f>
        <v>@BUENHECTOR</v>
      </c>
      <c r="C1431" s="8" t="s">
        <v>5334</v>
      </c>
      <c r="D1431" s="9" t="s">
        <v>5512</v>
      </c>
      <c r="E1431" s="10" t="str">
        <f>HYPERLINK("https://twitter.com/BUENHECTOR/status/1065717474920984576","1065717474920984576")</f>
        <v>1065717474920984576</v>
      </c>
      <c r="F1431" s="11" t="s">
        <v>4718</v>
      </c>
      <c r="G1431" s="12"/>
      <c r="H1431" s="12"/>
      <c r="I1431" s="13">
        <v>0</v>
      </c>
      <c r="J1431" s="13">
        <v>0</v>
      </c>
      <c r="K1431" s="14" t="str">
        <f t="shared" ref="K1431:K1433" si="227">HYPERLINK("http://twitter.com","Twitter Web Client")</f>
        <v>Twitter Web Client</v>
      </c>
      <c r="L1431" s="13">
        <v>62</v>
      </c>
      <c r="M1431" s="13">
        <v>486</v>
      </c>
      <c r="N1431" s="13">
        <v>0</v>
      </c>
      <c r="O1431" s="15"/>
      <c r="P1431" s="6">
        <v>40502.752569444448</v>
      </c>
      <c r="Q1431" s="12"/>
      <c r="R1431" s="19"/>
      <c r="S1431" s="12"/>
      <c r="T1431" s="12"/>
      <c r="U1431" s="10" t="str">
        <f>HYPERLINK("https://pbs.twimg.com/profile_images/830953120851038208/MNrR0LlV.jpg","View")</f>
        <v>View</v>
      </c>
    </row>
    <row r="1432" spans="1:21" ht="51">
      <c r="A1432" s="6">
        <v>43426.93268518518</v>
      </c>
      <c r="B1432" s="7" t="str">
        <f>HYPERLINK("https://twitter.com/Gustavo36681423","@Gustavo36681423")</f>
        <v>@Gustavo36681423</v>
      </c>
      <c r="C1432" s="8" t="s">
        <v>5513</v>
      </c>
      <c r="D1432" s="9" t="s">
        <v>5514</v>
      </c>
      <c r="E1432" s="10" t="str">
        <f>HYPERLINK("https://twitter.com/Gustavo36681423/status/1065717322567090176","1065717322567090176")</f>
        <v>1065717322567090176</v>
      </c>
      <c r="F1432" s="12"/>
      <c r="G1432" s="12"/>
      <c r="H1432" s="12"/>
      <c r="I1432" s="13">
        <v>0</v>
      </c>
      <c r="J1432" s="13">
        <v>0</v>
      </c>
      <c r="K1432" s="14" t="str">
        <f t="shared" si="227"/>
        <v>Twitter Web Client</v>
      </c>
      <c r="L1432" s="13">
        <v>0</v>
      </c>
      <c r="M1432" s="13">
        <v>17</v>
      </c>
      <c r="N1432" s="13">
        <v>0</v>
      </c>
      <c r="O1432" s="15"/>
      <c r="P1432" s="6">
        <v>43128.484479166669</v>
      </c>
      <c r="Q1432" s="12"/>
      <c r="R1432" s="19"/>
      <c r="S1432" s="12"/>
      <c r="T1432" s="12"/>
      <c r="U1432" s="16" t="s">
        <v>373</v>
      </c>
    </row>
    <row r="1433" spans="1:21" ht="40.799999999999997">
      <c r="A1433" s="6">
        <v>43426.932592592595</v>
      </c>
      <c r="B1433" s="7" t="str">
        <f>HYPERLINK("https://twitter.com/SaenzVarona","@SaenzVarona")</f>
        <v>@SaenzVarona</v>
      </c>
      <c r="C1433" s="8" t="s">
        <v>5515</v>
      </c>
      <c r="D1433" s="9" t="s">
        <v>5073</v>
      </c>
      <c r="E1433" s="10" t="str">
        <f>HYPERLINK("https://twitter.com/SaenzVarona/status/1065717289004224512","1065717289004224512")</f>
        <v>1065717289004224512</v>
      </c>
      <c r="F1433" s="11" t="s">
        <v>607</v>
      </c>
      <c r="G1433" s="12"/>
      <c r="H1433" s="12"/>
      <c r="I1433" s="13">
        <v>0</v>
      </c>
      <c r="J1433" s="13">
        <v>0</v>
      </c>
      <c r="K1433" s="14" t="str">
        <f t="shared" si="227"/>
        <v>Twitter Web Client</v>
      </c>
      <c r="L1433" s="13">
        <v>784</v>
      </c>
      <c r="M1433" s="13">
        <v>316</v>
      </c>
      <c r="N1433" s="13">
        <v>79</v>
      </c>
      <c r="O1433" s="15"/>
      <c r="P1433" s="6">
        <v>40697.711261574077</v>
      </c>
      <c r="Q1433" s="17" t="s">
        <v>5519</v>
      </c>
      <c r="R1433" s="18" t="s">
        <v>5520</v>
      </c>
      <c r="S1433" s="11" t="s">
        <v>5521</v>
      </c>
      <c r="T1433" s="12"/>
      <c r="U1433" s="10" t="str">
        <f>HYPERLINK("https://pbs.twimg.com/profile_images/479663832877383680/zm9ZsCqq.jpeg","View")</f>
        <v>View</v>
      </c>
    </row>
    <row r="1434" spans="1:21" ht="30.6">
      <c r="A1434" s="6">
        <v>43426.932395833333</v>
      </c>
      <c r="B1434" s="7" t="str">
        <f>HYPERLINK("https://twitter.com/mariado34122777","@mariado34122777")</f>
        <v>@mariado34122777</v>
      </c>
      <c r="C1434" s="8" t="s">
        <v>5522</v>
      </c>
      <c r="D1434" s="9" t="s">
        <v>1775</v>
      </c>
      <c r="E1434" s="10" t="str">
        <f>HYPERLINK("https://twitter.com/mariado34122777/status/1065717218892226560","1065717218892226560")</f>
        <v>1065717218892226560</v>
      </c>
      <c r="F1434" s="11" t="s">
        <v>1776</v>
      </c>
      <c r="G1434" s="12"/>
      <c r="H1434" s="12"/>
      <c r="I1434" s="13">
        <v>3</v>
      </c>
      <c r="J1434" s="13">
        <v>4</v>
      </c>
      <c r="K1434" s="14" t="str">
        <f>HYPERLINK("http://twitter.com/download/android","Twitter for Android")</f>
        <v>Twitter for Android</v>
      </c>
      <c r="L1434" s="13">
        <v>174</v>
      </c>
      <c r="M1434" s="13">
        <v>512</v>
      </c>
      <c r="N1434" s="13">
        <v>2</v>
      </c>
      <c r="O1434" s="15"/>
      <c r="P1434" s="6">
        <v>41394.564027777778</v>
      </c>
      <c r="Q1434" s="17" t="s">
        <v>5523</v>
      </c>
      <c r="R1434" s="18" t="s">
        <v>5524</v>
      </c>
      <c r="S1434" s="12"/>
      <c r="T1434" s="12"/>
      <c r="U1434" s="10" t="str">
        <f>HYPERLINK("https://pbs.twimg.com/profile_images/740831547348144129/fMuZzGnn.jpg","View")</f>
        <v>View</v>
      </c>
    </row>
    <row r="1435" spans="1:21" ht="40.799999999999997">
      <c r="A1435" s="6">
        <v>43426.931932870371</v>
      </c>
      <c r="B1435" s="7" t="str">
        <f>HYPERLINK("https://twitter.com/ComerziaCS","@ComerziaCS")</f>
        <v>@ComerziaCS</v>
      </c>
      <c r="C1435" s="8" t="s">
        <v>5525</v>
      </c>
      <c r="D1435" s="9" t="s">
        <v>5526</v>
      </c>
      <c r="E1435" s="10" t="str">
        <f>HYPERLINK("https://twitter.com/ComerziaCS/status/1065717049018724353","1065717049018724353")</f>
        <v>1065717049018724353</v>
      </c>
      <c r="F1435" s="11" t="s">
        <v>5527</v>
      </c>
      <c r="G1435" s="12"/>
      <c r="H1435" s="12"/>
      <c r="I1435" s="13">
        <v>0</v>
      </c>
      <c r="J1435" s="13">
        <v>0</v>
      </c>
      <c r="K1435" s="14" t="str">
        <f>HYPERLINK("https://ifttt.com","IFTTT")</f>
        <v>IFTTT</v>
      </c>
      <c r="L1435" s="13">
        <v>425</v>
      </c>
      <c r="M1435" s="13">
        <v>126</v>
      </c>
      <c r="N1435" s="13">
        <v>23</v>
      </c>
      <c r="O1435" s="15"/>
      <c r="P1435" s="6">
        <v>41807.804131944446</v>
      </c>
      <c r="Q1435" s="12"/>
      <c r="R1435" s="18" t="s">
        <v>5528</v>
      </c>
      <c r="S1435" s="11" t="s">
        <v>5529</v>
      </c>
      <c r="T1435" s="12"/>
      <c r="U1435" s="10" t="str">
        <f>HYPERLINK("https://pbs.twimg.com/profile_images/479282768833032192/pPeHUibR.jpeg","View")</f>
        <v>View</v>
      </c>
    </row>
    <row r="1436" spans="1:21" ht="30.6">
      <c r="A1436" s="6">
        <v>43426.930787037039</v>
      </c>
      <c r="B1436" s="7" t="str">
        <f>HYPERLINK("https://twitter.com/MateoLu79941552","@MateoLu79941552")</f>
        <v>@MateoLu79941552</v>
      </c>
      <c r="C1436" s="8" t="s">
        <v>5530</v>
      </c>
      <c r="D1436" s="9" t="s">
        <v>5531</v>
      </c>
      <c r="E1436" s="10" t="str">
        <f>HYPERLINK("https://twitter.com/MateoLu79941552/status/1065716633115795456","1065716633115795456")</f>
        <v>1065716633115795456</v>
      </c>
      <c r="F1436" s="11" t="s">
        <v>556</v>
      </c>
      <c r="G1436" s="12"/>
      <c r="H1436" s="12"/>
      <c r="I1436" s="13">
        <v>0</v>
      </c>
      <c r="J1436" s="13">
        <v>0</v>
      </c>
      <c r="K1436" s="14" t="str">
        <f>HYPERLINK("http://twitter.com","Twitter Web Client")</f>
        <v>Twitter Web Client</v>
      </c>
      <c r="L1436" s="13">
        <v>76</v>
      </c>
      <c r="M1436" s="13">
        <v>103</v>
      </c>
      <c r="N1436" s="13">
        <v>0</v>
      </c>
      <c r="O1436" s="15"/>
      <c r="P1436" s="6">
        <v>42714.965613425928</v>
      </c>
      <c r="Q1436" s="12"/>
      <c r="R1436" s="19"/>
      <c r="S1436" s="12"/>
      <c r="T1436" s="12"/>
      <c r="U1436" s="10" t="str">
        <f>HYPERLINK("https://pbs.twimg.com/profile_images/1035606686818619392/nOeTEZOU.jpg","View")</f>
        <v>View</v>
      </c>
    </row>
    <row r="1437" spans="1:21" ht="20.399999999999999">
      <c r="A1437" s="6">
        <v>43426.930358796293</v>
      </c>
      <c r="B1437" s="7" t="str">
        <f>HYPERLINK("https://twitter.com/CesarAGA","@CesarAGA")</f>
        <v>@CesarAGA</v>
      </c>
      <c r="C1437" s="8" t="s">
        <v>5532</v>
      </c>
      <c r="D1437" s="9" t="s">
        <v>5533</v>
      </c>
      <c r="E1437" s="10" t="str">
        <f>HYPERLINK("https://twitter.com/CesarAGA/status/1065716479914577921","1065716479914577921")</f>
        <v>1065716479914577921</v>
      </c>
      <c r="F1437" s="11" t="s">
        <v>5534</v>
      </c>
      <c r="G1437" s="12"/>
      <c r="H1437" s="12"/>
      <c r="I1437" s="13">
        <v>0</v>
      </c>
      <c r="J1437" s="13">
        <v>0</v>
      </c>
      <c r="K1437" s="14" t="str">
        <f>HYPERLINK("http://twitter.com/download/iphone","Twitter for iPhone")</f>
        <v>Twitter for iPhone</v>
      </c>
      <c r="L1437" s="13">
        <v>10404</v>
      </c>
      <c r="M1437" s="13">
        <v>10464</v>
      </c>
      <c r="N1437" s="13">
        <v>152</v>
      </c>
      <c r="O1437" s="15"/>
      <c r="P1437" s="6">
        <v>40196.767534722225</v>
      </c>
      <c r="Q1437" s="17" t="s">
        <v>5535</v>
      </c>
      <c r="R1437" s="18" t="s">
        <v>5536</v>
      </c>
      <c r="S1437" s="12"/>
      <c r="T1437" s="12"/>
      <c r="U1437" s="10" t="str">
        <f>HYPERLINK("https://pbs.twimg.com/profile_images/618103356649705472/6g-0DyQe.jpg","View")</f>
        <v>View</v>
      </c>
    </row>
    <row r="1438" spans="1:21" ht="40.799999999999997">
      <c r="A1438" s="6">
        <v>43426.930081018523</v>
      </c>
      <c r="B1438" s="7" t="str">
        <f>HYPERLINK("https://twitter.com/CdV_Extremadura","@CdV_Extremadura")</f>
        <v>@CdV_Extremadura</v>
      </c>
      <c r="C1438" s="8" t="s">
        <v>5537</v>
      </c>
      <c r="D1438" s="9" t="s">
        <v>5538</v>
      </c>
      <c r="E1438" s="10" t="str">
        <f>HYPERLINK("https://twitter.com/CdV_Extremadura/status/1065716379779764224","1065716379779764224")</f>
        <v>1065716379779764224</v>
      </c>
      <c r="F1438" s="11" t="s">
        <v>3552</v>
      </c>
      <c r="G1438" s="12"/>
      <c r="H1438" s="12"/>
      <c r="I1438" s="13">
        <v>19</v>
      </c>
      <c r="J1438" s="13">
        <v>14</v>
      </c>
      <c r="K1438" s="14" t="str">
        <f>HYPERLINK("https://about.twitter.com/products/tweetdeck","TweetDeck")</f>
        <v>TweetDeck</v>
      </c>
      <c r="L1438" s="13">
        <v>1995</v>
      </c>
      <c r="M1438" s="13">
        <v>2618</v>
      </c>
      <c r="N1438" s="13">
        <v>47</v>
      </c>
      <c r="O1438" s="15"/>
      <c r="P1438" s="6">
        <v>42354.658622685187</v>
      </c>
      <c r="Q1438" s="17" t="s">
        <v>4518</v>
      </c>
      <c r="R1438" s="18" t="s">
        <v>5539</v>
      </c>
      <c r="S1438" s="11" t="s">
        <v>5540</v>
      </c>
      <c r="T1438" s="12"/>
      <c r="U1438" s="10" t="str">
        <f>HYPERLINK("https://pbs.twimg.com/profile_images/993832505848532994/tPccLNSn.jpg","View")</f>
        <v>View</v>
      </c>
    </row>
    <row r="1439" spans="1:21" ht="20.399999999999999">
      <c r="A1439" s="6">
        <v>43426.92969907407</v>
      </c>
      <c r="B1439" s="7" t="str">
        <f>HYPERLINK("https://twitter.com/RebelhdX","@RebelhdX")</f>
        <v>@RebelhdX</v>
      </c>
      <c r="C1439" s="8" t="s">
        <v>5541</v>
      </c>
      <c r="D1439" s="9" t="s">
        <v>5542</v>
      </c>
      <c r="E1439" s="10" t="str">
        <f>HYPERLINK("https://twitter.com/RebelhdX/status/1065716241929854979","1065716241929854979")</f>
        <v>1065716241929854979</v>
      </c>
      <c r="F1439" s="12"/>
      <c r="G1439" s="12"/>
      <c r="H1439" s="12"/>
      <c r="I1439" s="13">
        <v>0</v>
      </c>
      <c r="J1439" s="13">
        <v>0</v>
      </c>
      <c r="K1439" s="14" t="str">
        <f>HYPERLINK("http://twitter.com/download/android","Twitter for Android")</f>
        <v>Twitter for Android</v>
      </c>
      <c r="L1439" s="13">
        <v>4</v>
      </c>
      <c r="M1439" s="13">
        <v>18</v>
      </c>
      <c r="N1439" s="13">
        <v>0</v>
      </c>
      <c r="O1439" s="15"/>
      <c r="P1439" s="6">
        <v>43370.986608796295</v>
      </c>
      <c r="Q1439" s="17" t="s">
        <v>5543</v>
      </c>
      <c r="R1439" s="18" t="s">
        <v>5544</v>
      </c>
      <c r="S1439" s="12"/>
      <c r="T1439" s="12"/>
      <c r="U1439" s="10" t="str">
        <f>HYPERLINK("https://pbs.twimg.com/profile_images/1045434179717144576/vvyn4erp.jpg","View")</f>
        <v>View</v>
      </c>
    </row>
    <row r="1440" spans="1:21" ht="20.399999999999999">
      <c r="A1440" s="6">
        <v>43426.929166666669</v>
      </c>
      <c r="B1440" s="7" t="str">
        <f>HYPERLINK("https://twitter.com/guanche55","@guanche55")</f>
        <v>@guanche55</v>
      </c>
      <c r="C1440" s="8" t="s">
        <v>5545</v>
      </c>
      <c r="D1440" s="9" t="s">
        <v>3607</v>
      </c>
      <c r="E1440" s="10" t="str">
        <f>HYPERLINK("https://twitter.com/guanche55/status/1065716045976166400","1065716045976166400")</f>
        <v>1065716045976166400</v>
      </c>
      <c r="F1440" s="11" t="s">
        <v>3608</v>
      </c>
      <c r="G1440" s="12"/>
      <c r="H1440" s="12"/>
      <c r="I1440" s="13">
        <v>0</v>
      </c>
      <c r="J1440" s="13">
        <v>1</v>
      </c>
      <c r="K1440" s="14" t="str">
        <f>HYPERLINK("http://www.facebook.com/twitter","Facebook")</f>
        <v>Facebook</v>
      </c>
      <c r="L1440" s="13">
        <v>53</v>
      </c>
      <c r="M1440" s="13">
        <v>98</v>
      </c>
      <c r="N1440" s="13">
        <v>0</v>
      </c>
      <c r="O1440" s="15"/>
      <c r="P1440" s="6">
        <v>40284.661319444444</v>
      </c>
      <c r="Q1440" s="17" t="s">
        <v>5546</v>
      </c>
      <c r="R1440" s="18" t="s">
        <v>5547</v>
      </c>
      <c r="S1440" s="12"/>
      <c r="T1440" s="12"/>
      <c r="U1440" s="10" t="str">
        <f>HYPERLINK("https://pbs.twimg.com/profile_images/725622177404456962/PM27tWU_.jpg","View")</f>
        <v>View</v>
      </c>
    </row>
    <row r="1441" spans="1:21" ht="30.6">
      <c r="A1441" s="6">
        <v>43426.928865740745</v>
      </c>
      <c r="B1441" s="7" t="str">
        <f>HYPERLINK("https://twitter.com/calcazar30","@calcazar30")</f>
        <v>@calcazar30</v>
      </c>
      <c r="C1441" s="8" t="s">
        <v>5548</v>
      </c>
      <c r="D1441" s="9" t="s">
        <v>5549</v>
      </c>
      <c r="E1441" s="10" t="str">
        <f>HYPERLINK("https://twitter.com/calcazar30/status/1065715936920043520","1065715936920043520")</f>
        <v>1065715936920043520</v>
      </c>
      <c r="F1441" s="11" t="s">
        <v>5550</v>
      </c>
      <c r="G1441" s="12"/>
      <c r="H1441" s="12"/>
      <c r="I1441" s="13">
        <v>0</v>
      </c>
      <c r="J1441" s="13">
        <v>0</v>
      </c>
      <c r="K1441" s="14" t="str">
        <f>HYPERLINK("http://twitter.com","Twitter Web Client")</f>
        <v>Twitter Web Client</v>
      </c>
      <c r="L1441" s="13">
        <v>917</v>
      </c>
      <c r="M1441" s="13">
        <v>1067</v>
      </c>
      <c r="N1441" s="13">
        <v>39</v>
      </c>
      <c r="O1441" s="15"/>
      <c r="P1441" s="6">
        <v>41256.810150462959</v>
      </c>
      <c r="Q1441" s="17" t="s">
        <v>436</v>
      </c>
      <c r="R1441" s="18" t="s">
        <v>5551</v>
      </c>
      <c r="S1441" s="12"/>
      <c r="T1441" s="12"/>
      <c r="U1441" s="10" t="str">
        <f>HYPERLINK("https://pbs.twimg.com/profile_images/676799973573451776/oV4BNrT_.png","View")</f>
        <v>View</v>
      </c>
    </row>
    <row r="1442" spans="1:21" ht="51">
      <c r="A1442" s="6">
        <v>43426.928356481483</v>
      </c>
      <c r="B1442" s="7" t="str">
        <f>HYPERLINK("https://twitter.com/PacoCastanares","@PacoCastanares")</f>
        <v>@PacoCastanares</v>
      </c>
      <c r="C1442" s="8" t="s">
        <v>5552</v>
      </c>
      <c r="D1442" s="9" t="s">
        <v>5553</v>
      </c>
      <c r="E1442" s="10" t="str">
        <f>HYPERLINK("https://twitter.com/PacoCastanares/status/1065715754040025088","1065715754040025088")</f>
        <v>1065715754040025088</v>
      </c>
      <c r="F1442" s="11" t="s">
        <v>5554</v>
      </c>
      <c r="G1442" s="12"/>
      <c r="H1442" s="12"/>
      <c r="I1442" s="13">
        <v>1</v>
      </c>
      <c r="J1442" s="13">
        <v>3</v>
      </c>
      <c r="K1442" s="14" t="str">
        <f>HYPERLINK("http://twitter.com/#!/download/ipad","Twitter for iPad")</f>
        <v>Twitter for iPad</v>
      </c>
      <c r="L1442" s="13">
        <v>23061</v>
      </c>
      <c r="M1442" s="13">
        <v>13533</v>
      </c>
      <c r="N1442" s="13">
        <v>179</v>
      </c>
      <c r="O1442" s="15"/>
      <c r="P1442" s="6">
        <v>41157.971354166664</v>
      </c>
      <c r="Q1442" s="17" t="s">
        <v>5555</v>
      </c>
      <c r="R1442" s="18" t="s">
        <v>5556</v>
      </c>
      <c r="S1442" s="12"/>
      <c r="T1442" s="12"/>
      <c r="U1442" s="10" t="str">
        <f>HYPERLINK("https://pbs.twimg.com/profile_images/1058802879111315456/AmMDDngT.jpg","View")</f>
        <v>View</v>
      </c>
    </row>
    <row r="1443" spans="1:21" ht="40.799999999999997">
      <c r="A1443" s="6">
        <v>43426.928263888884</v>
      </c>
      <c r="B1443" s="7" t="str">
        <f>HYPERLINK("https://twitter.com/Tingaling007","@Tingaling007")</f>
        <v>@Tingaling007</v>
      </c>
      <c r="C1443" s="8" t="s">
        <v>5557</v>
      </c>
      <c r="D1443" s="9" t="s">
        <v>5558</v>
      </c>
      <c r="E1443" s="10" t="str">
        <f>HYPERLINK("https://twitter.com/Tingaling007/status/1065715721475379200","1065715721475379200")</f>
        <v>1065715721475379200</v>
      </c>
      <c r="F1443" s="11" t="s">
        <v>641</v>
      </c>
      <c r="G1443" s="12"/>
      <c r="H1443" s="12"/>
      <c r="I1443" s="13">
        <v>0</v>
      </c>
      <c r="J1443" s="13">
        <v>0</v>
      </c>
      <c r="K1443" s="14" t="str">
        <f t="shared" ref="K1443:K1445" si="228">HYPERLINK("http://twitter.com/download/android","Twitter for Android")</f>
        <v>Twitter for Android</v>
      </c>
      <c r="L1443" s="13">
        <v>2708</v>
      </c>
      <c r="M1443" s="13">
        <v>4997</v>
      </c>
      <c r="N1443" s="13">
        <v>9</v>
      </c>
      <c r="O1443" s="15"/>
      <c r="P1443" s="6">
        <v>42973.411319444444</v>
      </c>
      <c r="Q1443" s="17" t="s">
        <v>5559</v>
      </c>
      <c r="R1443" s="18" t="s">
        <v>5560</v>
      </c>
      <c r="S1443" s="12"/>
      <c r="T1443" s="12"/>
      <c r="U1443" s="10" t="str">
        <f>HYPERLINK("https://pbs.twimg.com/profile_images/904091136087777280/SKv4rA3C.jpg","View")</f>
        <v>View</v>
      </c>
    </row>
    <row r="1444" spans="1:21" ht="40.799999999999997">
      <c r="A1444" s="6">
        <v>43426.928252314814</v>
      </c>
      <c r="B1444" s="7" t="str">
        <f>HYPERLINK("https://twitter.com/DCastroTCs","@DCastroTCs")</f>
        <v>@DCastroTCs</v>
      </c>
      <c r="C1444" s="8" t="s">
        <v>5561</v>
      </c>
      <c r="D1444" s="9" t="s">
        <v>5073</v>
      </c>
      <c r="E1444" s="10" t="str">
        <f>HYPERLINK("https://twitter.com/DCastroTCs/status/1065715714714214405","1065715714714214405")</f>
        <v>1065715714714214405</v>
      </c>
      <c r="F1444" s="11" t="s">
        <v>607</v>
      </c>
      <c r="G1444" s="12"/>
      <c r="H1444" s="12"/>
      <c r="I1444" s="13">
        <v>3</v>
      </c>
      <c r="J1444" s="13">
        <v>3</v>
      </c>
      <c r="K1444" s="14" t="str">
        <f t="shared" si="228"/>
        <v>Twitter for Android</v>
      </c>
      <c r="L1444" s="13">
        <v>100</v>
      </c>
      <c r="M1444" s="13">
        <v>253</v>
      </c>
      <c r="N1444" s="13">
        <v>1</v>
      </c>
      <c r="O1444" s="15"/>
      <c r="P1444" s="6">
        <v>43132.518437499995</v>
      </c>
      <c r="Q1444" s="17" t="s">
        <v>5562</v>
      </c>
      <c r="R1444" s="18" t="s">
        <v>5563</v>
      </c>
      <c r="S1444" s="12"/>
      <c r="T1444" s="12"/>
      <c r="U1444" s="10" t="str">
        <f>HYPERLINK("https://pbs.twimg.com/profile_images/959032223038046208/9AbSMfB9.jpg","View")</f>
        <v>View</v>
      </c>
    </row>
    <row r="1445" spans="1:21" ht="40.799999999999997">
      <c r="A1445" s="6">
        <v>43426.928136574075</v>
      </c>
      <c r="B1445" s="7" t="str">
        <f>HYPERLINK("https://twitter.com/Tingaling007","@Tingaling007")</f>
        <v>@Tingaling007</v>
      </c>
      <c r="C1445" s="8" t="s">
        <v>5557</v>
      </c>
      <c r="D1445" s="9" t="s">
        <v>5564</v>
      </c>
      <c r="E1445" s="10" t="str">
        <f>HYPERLINK("https://twitter.com/Tingaling007/status/1065715676382400519","1065715676382400519")</f>
        <v>1065715676382400519</v>
      </c>
      <c r="F1445" s="11" t="s">
        <v>641</v>
      </c>
      <c r="G1445" s="12"/>
      <c r="H1445" s="12"/>
      <c r="I1445" s="13">
        <v>0</v>
      </c>
      <c r="J1445" s="13">
        <v>0</v>
      </c>
      <c r="K1445" s="14" t="str">
        <f t="shared" si="228"/>
        <v>Twitter for Android</v>
      </c>
      <c r="L1445" s="13">
        <v>2708</v>
      </c>
      <c r="M1445" s="13">
        <v>4997</v>
      </c>
      <c r="N1445" s="13">
        <v>9</v>
      </c>
      <c r="O1445" s="15"/>
      <c r="P1445" s="6">
        <v>42973.411319444444</v>
      </c>
      <c r="Q1445" s="17" t="s">
        <v>5559</v>
      </c>
      <c r="R1445" s="18" t="s">
        <v>5560</v>
      </c>
      <c r="S1445" s="12"/>
      <c r="T1445" s="12"/>
      <c r="U1445" s="10" t="str">
        <f>HYPERLINK("https://pbs.twimg.com/profile_images/904091136087777280/SKv4rA3C.jpg","View")</f>
        <v>View</v>
      </c>
    </row>
    <row r="1446" spans="1:21" ht="30.6">
      <c r="A1446" s="6">
        <v>43426.927824074075</v>
      </c>
      <c r="B1446" s="7" t="str">
        <f>HYPERLINK("https://twitter.com/libertaddigital","@libertaddigital")</f>
        <v>@libertaddigital</v>
      </c>
      <c r="C1446" s="8" t="s">
        <v>815</v>
      </c>
      <c r="D1446" s="9" t="s">
        <v>5424</v>
      </c>
      <c r="E1446" s="10" t="str">
        <f>HYPERLINK("https://twitter.com/libertaddigital/status/1065715561349427202","1065715561349427202")</f>
        <v>1065715561349427202</v>
      </c>
      <c r="F1446" s="11" t="s">
        <v>5425</v>
      </c>
      <c r="G1446" s="12"/>
      <c r="H1446" s="12"/>
      <c r="I1446" s="13">
        <v>63</v>
      </c>
      <c r="J1446" s="13">
        <v>75</v>
      </c>
      <c r="K1446" s="14" t="str">
        <f>HYPERLINK("https://www.hootsuite.com","Hootsuite Inc.")</f>
        <v>Hootsuite Inc.</v>
      </c>
      <c r="L1446" s="13">
        <v>124375</v>
      </c>
      <c r="M1446" s="13">
        <v>563</v>
      </c>
      <c r="N1446" s="13">
        <v>2364</v>
      </c>
      <c r="O1446" s="16" t="s">
        <v>26</v>
      </c>
      <c r="P1446" s="6">
        <v>39899.727141203708</v>
      </c>
      <c r="Q1446" s="17" t="s">
        <v>72</v>
      </c>
      <c r="R1446" s="18" t="s">
        <v>818</v>
      </c>
      <c r="S1446" s="11" t="s">
        <v>819</v>
      </c>
      <c r="T1446" s="12"/>
      <c r="U1446" s="10" t="str">
        <f>HYPERLINK("https://pbs.twimg.com/profile_images/913700935603499008/ifTjXKGZ.jpg","View")</f>
        <v>View</v>
      </c>
    </row>
    <row r="1447" spans="1:21" ht="40.799999999999997">
      <c r="A1447" s="6">
        <v>43426.927777777775</v>
      </c>
      <c r="B1447" s="7" t="str">
        <f>HYPERLINK("https://twitter.com/alvaritooo2","@alvaritooo2")</f>
        <v>@alvaritooo2</v>
      </c>
      <c r="C1447" s="8" t="s">
        <v>5565</v>
      </c>
      <c r="D1447" s="9" t="s">
        <v>5566</v>
      </c>
      <c r="E1447" s="10" t="str">
        <f>HYPERLINK("https://twitter.com/alvaritooo2/status/1065715546090545154","1065715546090545154")</f>
        <v>1065715546090545154</v>
      </c>
      <c r="F1447" s="12"/>
      <c r="G1447" s="11" t="s">
        <v>5567</v>
      </c>
      <c r="H1447" s="12"/>
      <c r="I1447" s="13">
        <v>13</v>
      </c>
      <c r="J1447" s="13">
        <v>10</v>
      </c>
      <c r="K1447" s="14" t="str">
        <f>HYPERLINK("http://twitter.com/download/iphone","Twitter for iPhone")</f>
        <v>Twitter for iPhone</v>
      </c>
      <c r="L1447" s="13">
        <v>18421</v>
      </c>
      <c r="M1447" s="13">
        <v>16722</v>
      </c>
      <c r="N1447" s="13">
        <v>132</v>
      </c>
      <c r="O1447" s="15"/>
      <c r="P1447" s="6">
        <v>40675.864861111113</v>
      </c>
      <c r="Q1447" s="17" t="s">
        <v>5568</v>
      </c>
      <c r="R1447" s="18" t="s">
        <v>5569</v>
      </c>
      <c r="S1447" s="12"/>
      <c r="T1447" s="12"/>
      <c r="U1447" s="10" t="str">
        <f>HYPERLINK("https://pbs.twimg.com/profile_images/1065876339419426816/iClhSaEi.jpg","View")</f>
        <v>View</v>
      </c>
    </row>
    <row r="1448" spans="1:21" ht="40.799999999999997">
      <c r="A1448" s="6">
        <v>43426.927083333328</v>
      </c>
      <c r="B1448" s="7" t="str">
        <f>HYPERLINK("https://twitter.com/20m","@20m")</f>
        <v>@20m</v>
      </c>
      <c r="C1448" s="20" t="s">
        <v>3651</v>
      </c>
      <c r="D1448" s="9" t="s">
        <v>5570</v>
      </c>
      <c r="E1448" s="10" t="str">
        <f>HYPERLINK("https://twitter.com/20m/status/1065715292549074944","1065715292549074944")</f>
        <v>1065715292549074944</v>
      </c>
      <c r="F1448" s="11" t="s">
        <v>5571</v>
      </c>
      <c r="G1448" s="12"/>
      <c r="H1448" s="12"/>
      <c r="I1448" s="13">
        <v>7</v>
      </c>
      <c r="J1448" s="13">
        <v>9</v>
      </c>
      <c r="K1448" s="14" t="str">
        <f>HYPERLINK("http://dogtrack.es","DogTrack_Oficial")</f>
        <v>DogTrack_Oficial</v>
      </c>
      <c r="L1448" s="13">
        <v>1353063</v>
      </c>
      <c r="M1448" s="13">
        <v>51110</v>
      </c>
      <c r="N1448" s="13">
        <v>14081</v>
      </c>
      <c r="O1448" s="16" t="s">
        <v>26</v>
      </c>
      <c r="P1448" s="6">
        <v>39917.485891203702</v>
      </c>
      <c r="Q1448" s="17" t="s">
        <v>436</v>
      </c>
      <c r="R1448" s="18" t="s">
        <v>3653</v>
      </c>
      <c r="S1448" s="11" t="s">
        <v>3654</v>
      </c>
      <c r="T1448" s="12"/>
      <c r="U1448" s="10" t="str">
        <f>HYPERLINK("https://pbs.twimg.com/profile_images/1013670314285420544/gwCE6EJr.jpg","View")</f>
        <v>View</v>
      </c>
    </row>
    <row r="1449" spans="1:21" ht="20.399999999999999">
      <c r="A1449" s="6">
        <v>43426.92591435185</v>
      </c>
      <c r="B1449" s="7" t="str">
        <f>HYPERLINK("https://twitter.com/CarlosMartin_","@CarlosMartin_")</f>
        <v>@CarlosMartin_</v>
      </c>
      <c r="C1449" s="8" t="s">
        <v>3659</v>
      </c>
      <c r="D1449" s="9" t="s">
        <v>5572</v>
      </c>
      <c r="E1449" s="10" t="str">
        <f>HYPERLINK("https://twitter.com/CarlosMartin_/status/1065714869868089344","1065714869868089344")</f>
        <v>1065714869868089344</v>
      </c>
      <c r="F1449" s="12"/>
      <c r="G1449" s="11" t="s">
        <v>5573</v>
      </c>
      <c r="H1449" s="12"/>
      <c r="I1449" s="13">
        <v>0</v>
      </c>
      <c r="J1449" s="13">
        <v>0</v>
      </c>
      <c r="K1449" s="14" t="str">
        <f>HYPERLINK("http://twitter.com","Twitter Web Client")</f>
        <v>Twitter Web Client</v>
      </c>
      <c r="L1449" s="13">
        <v>860</v>
      </c>
      <c r="M1449" s="13">
        <v>143</v>
      </c>
      <c r="N1449" s="13">
        <v>63</v>
      </c>
      <c r="O1449" s="15"/>
      <c r="P1449" s="6">
        <v>40030.07099537037</v>
      </c>
      <c r="Q1449" s="12"/>
      <c r="R1449" s="18" t="s">
        <v>5574</v>
      </c>
      <c r="S1449" s="11" t="s">
        <v>5575</v>
      </c>
      <c r="T1449" s="12"/>
      <c r="U1449" s="10" t="str">
        <f>HYPERLINK("https://pbs.twimg.com/profile_images/1057884851393781760/LQH6n-KY.jpg","View")</f>
        <v>View</v>
      </c>
    </row>
    <row r="1450" spans="1:21" ht="40.799999999999997">
      <c r="A1450" s="6">
        <v>43426.925625000003</v>
      </c>
      <c r="B1450" s="7" t="str">
        <f>HYPERLINK("https://twitter.com/J__Gato","@J__Gato")</f>
        <v>@J__Gato</v>
      </c>
      <c r="C1450" s="8" t="s">
        <v>5576</v>
      </c>
      <c r="D1450" s="9" t="s">
        <v>5577</v>
      </c>
      <c r="E1450" s="10" t="str">
        <f>HYPERLINK("https://twitter.com/J__Gato/status/1065714764788219905","1065714764788219905")</f>
        <v>1065714764788219905</v>
      </c>
      <c r="F1450" s="11" t="s">
        <v>5578</v>
      </c>
      <c r="G1450" s="12"/>
      <c r="H1450" s="12"/>
      <c r="I1450" s="13">
        <v>0</v>
      </c>
      <c r="J1450" s="13">
        <v>0</v>
      </c>
      <c r="K1450" s="14" t="str">
        <f>HYPERLINK("http://twitter.com/download/iphone","Twitter for iPhone")</f>
        <v>Twitter for iPhone</v>
      </c>
      <c r="L1450" s="13">
        <v>15092</v>
      </c>
      <c r="M1450" s="13">
        <v>8315</v>
      </c>
      <c r="N1450" s="13">
        <v>190</v>
      </c>
      <c r="O1450" s="15"/>
      <c r="P1450" s="6">
        <v>41223.574108796296</v>
      </c>
      <c r="Q1450" s="17" t="s">
        <v>141</v>
      </c>
      <c r="R1450" s="18" t="s">
        <v>5579</v>
      </c>
      <c r="S1450" s="12"/>
      <c r="T1450" s="12"/>
      <c r="U1450" s="10" t="str">
        <f>HYPERLINK("https://pbs.twimg.com/profile_images/945829240586604558/yeQJSrrN.jpg","View")</f>
        <v>View</v>
      </c>
    </row>
    <row r="1451" spans="1:21" ht="40.799999999999997">
      <c r="A1451" s="6">
        <v>43426.924884259264</v>
      </c>
      <c r="B1451" s="7" t="str">
        <f>HYPERLINK("https://twitter.com/AngelesRendn1","@AngelesRendn1")</f>
        <v>@AngelesRendn1</v>
      </c>
      <c r="C1451" s="8" t="s">
        <v>5580</v>
      </c>
      <c r="D1451" s="9" t="s">
        <v>5581</v>
      </c>
      <c r="E1451" s="10" t="str">
        <f>HYPERLINK("https://twitter.com/AngelesRendn1/status/1065714494033268738","1065714494033268738")</f>
        <v>1065714494033268738</v>
      </c>
      <c r="F1451" s="11" t="s">
        <v>1331</v>
      </c>
      <c r="G1451" s="12"/>
      <c r="H1451" s="12"/>
      <c r="I1451" s="13">
        <v>5</v>
      </c>
      <c r="J1451" s="13">
        <v>6</v>
      </c>
      <c r="K1451" s="14" t="str">
        <f>HYPERLINK("http://twitter.com/download/android","Twitter for Android")</f>
        <v>Twitter for Android</v>
      </c>
      <c r="L1451" s="13">
        <v>8735</v>
      </c>
      <c r="M1451" s="13">
        <v>6464</v>
      </c>
      <c r="N1451" s="13">
        <v>70</v>
      </c>
      <c r="O1451" s="15"/>
      <c r="P1451" s="6">
        <v>42331.020300925928</v>
      </c>
      <c r="Q1451" s="12"/>
      <c r="R1451" s="18" t="s">
        <v>5582</v>
      </c>
      <c r="S1451" s="12"/>
      <c r="T1451" s="12"/>
      <c r="U1451" s="10" t="str">
        <f>HYPERLINK("https://pbs.twimg.com/profile_images/1055244114889977856/yQvW3oet.jpg","View")</f>
        <v>View</v>
      </c>
    </row>
    <row r="1452" spans="1:21" ht="13.2">
      <c r="A1452" s="6">
        <v>43426.924745370372</v>
      </c>
      <c r="B1452" s="7" t="str">
        <f>HYPERLINK("https://twitter.com/antoniovaldez6","@antoniovaldez6")</f>
        <v>@antoniovaldez6</v>
      </c>
      <c r="C1452" s="8" t="s">
        <v>5583</v>
      </c>
      <c r="D1452" s="9" t="s">
        <v>5584</v>
      </c>
      <c r="E1452" s="10" t="str">
        <f>HYPERLINK("https://twitter.com/antoniovaldez6/status/1065714444284690432","1065714444284690432")</f>
        <v>1065714444284690432</v>
      </c>
      <c r="F1452" s="11" t="s">
        <v>5585</v>
      </c>
      <c r="G1452" s="12"/>
      <c r="H1452" s="12"/>
      <c r="I1452" s="13">
        <v>0</v>
      </c>
      <c r="J1452" s="13">
        <v>0</v>
      </c>
      <c r="K1452" s="14" t="str">
        <f>HYPERLINK("http://twitter.com","Twitter Web Client")</f>
        <v>Twitter Web Client</v>
      </c>
      <c r="L1452" s="13">
        <v>3302</v>
      </c>
      <c r="M1452" s="13">
        <v>3494</v>
      </c>
      <c r="N1452" s="13">
        <v>14</v>
      </c>
      <c r="O1452" s="15"/>
      <c r="P1452" s="6">
        <v>40718.165347222224</v>
      </c>
      <c r="Q1452" s="17" t="s">
        <v>5586</v>
      </c>
      <c r="R1452" s="18" t="s">
        <v>5587</v>
      </c>
      <c r="S1452" s="12"/>
      <c r="T1452" s="12"/>
      <c r="U1452" s="10" t="str">
        <f>HYPERLINK("https://pbs.twimg.com/profile_images/784528105172037634/HmqWVsZB.jpg","View")</f>
        <v>View</v>
      </c>
    </row>
    <row r="1453" spans="1:21" ht="40.799999999999997">
      <c r="A1453" s="6">
        <v>43426.924201388887</v>
      </c>
      <c r="B1453" s="7" t="str">
        <f>HYPERLINK("https://twitter.com/inigodejuana","@inigodejuana")</f>
        <v>@inigodejuana</v>
      </c>
      <c r="C1453" s="8" t="s">
        <v>5588</v>
      </c>
      <c r="D1453" s="9" t="s">
        <v>5589</v>
      </c>
      <c r="E1453" s="10" t="str">
        <f>HYPERLINK("https://twitter.com/inigodejuana/status/1065714250537160705","1065714250537160705")</f>
        <v>1065714250537160705</v>
      </c>
      <c r="F1453" s="11" t="s">
        <v>5590</v>
      </c>
      <c r="G1453" s="12"/>
      <c r="H1453" s="12"/>
      <c r="I1453" s="13">
        <v>0</v>
      </c>
      <c r="J1453" s="13">
        <v>0</v>
      </c>
      <c r="K1453" s="14" t="str">
        <f>HYPERLINK("http://www.facebook.com/twitter","Facebook")</f>
        <v>Facebook</v>
      </c>
      <c r="L1453" s="13">
        <v>42393</v>
      </c>
      <c r="M1453" s="13">
        <v>51246</v>
      </c>
      <c r="N1453" s="13">
        <v>255</v>
      </c>
      <c r="O1453" s="15"/>
      <c r="P1453" s="6">
        <v>40831.112256944441</v>
      </c>
      <c r="Q1453" s="17" t="s">
        <v>5591</v>
      </c>
      <c r="R1453" s="18" t="s">
        <v>5592</v>
      </c>
      <c r="S1453" s="11" t="s">
        <v>5593</v>
      </c>
      <c r="T1453" s="12"/>
      <c r="U1453" s="10" t="str">
        <f>HYPERLINK("https://pbs.twimg.com/profile_images/900048281375584257/TrbK7dzb.jpg","View")</f>
        <v>View</v>
      </c>
    </row>
    <row r="1454" spans="1:21" ht="20.399999999999999">
      <c r="A1454" s="6">
        <v>43426.924178240741</v>
      </c>
      <c r="B1454" s="7" t="str">
        <f>HYPERLINK("https://twitter.com/JoseanDuran45","@JoseanDuran45")</f>
        <v>@JoseanDuran45</v>
      </c>
      <c r="C1454" s="8" t="s">
        <v>3909</v>
      </c>
      <c r="D1454" s="9" t="s">
        <v>640</v>
      </c>
      <c r="E1454" s="10" t="str">
        <f>HYPERLINK("https://twitter.com/JoseanDuran45/status/1065714238637948929","1065714238637948929")</f>
        <v>1065714238637948929</v>
      </c>
      <c r="F1454" s="11" t="s">
        <v>641</v>
      </c>
      <c r="G1454" s="12"/>
      <c r="H1454" s="12"/>
      <c r="I1454" s="13">
        <v>0</v>
      </c>
      <c r="J1454" s="13">
        <v>0</v>
      </c>
      <c r="K1454" s="14" t="str">
        <f>HYPERLINK("http://twitter.com","Twitter Web Client")</f>
        <v>Twitter Web Client</v>
      </c>
      <c r="L1454" s="13">
        <v>157</v>
      </c>
      <c r="M1454" s="13">
        <v>179</v>
      </c>
      <c r="N1454" s="13">
        <v>4</v>
      </c>
      <c r="O1454" s="15"/>
      <c r="P1454" s="6">
        <v>42327.814120370371</v>
      </c>
      <c r="Q1454" s="12"/>
      <c r="R1454" s="19"/>
      <c r="S1454" s="12"/>
      <c r="T1454" s="12"/>
      <c r="U1454" s="10" t="str">
        <f>HYPERLINK("https://pbs.twimg.com/profile_images/667412235568959488/hCT9XWvM.jpg","View")</f>
        <v>View</v>
      </c>
    </row>
    <row r="1455" spans="1:21" ht="51">
      <c r="A1455" s="6">
        <v>43426.924085648148</v>
      </c>
      <c r="B1455" s="7" t="str">
        <f>HYPERLINK("https://twitter.com/Villarrubia_67","@Villarrubia_67")</f>
        <v>@Villarrubia_67</v>
      </c>
      <c r="C1455" s="8" t="s">
        <v>5594</v>
      </c>
      <c r="D1455" s="9" t="s">
        <v>5595</v>
      </c>
      <c r="E1455" s="10" t="str">
        <f>HYPERLINK("https://twitter.com/Villarrubia_67/status/1065714207600140288","1065714207600140288")</f>
        <v>1065714207600140288</v>
      </c>
      <c r="F1455" s="12"/>
      <c r="G1455" s="12"/>
      <c r="H1455" s="12"/>
      <c r="I1455" s="13">
        <v>0</v>
      </c>
      <c r="J1455" s="13">
        <v>2</v>
      </c>
      <c r="K1455" s="14" t="str">
        <f t="shared" ref="K1455:K1457" si="229">HYPERLINK("http://twitter.com/download/android","Twitter for Android")</f>
        <v>Twitter for Android</v>
      </c>
      <c r="L1455" s="13">
        <v>1087</v>
      </c>
      <c r="M1455" s="13">
        <v>58</v>
      </c>
      <c r="N1455" s="13">
        <v>16</v>
      </c>
      <c r="O1455" s="15"/>
      <c r="P1455" s="6">
        <v>40783.632685185185</v>
      </c>
      <c r="Q1455" s="17" t="s">
        <v>5596</v>
      </c>
      <c r="R1455" s="18" t="s">
        <v>5597</v>
      </c>
      <c r="S1455" s="12"/>
      <c r="T1455" s="12"/>
      <c r="U1455" s="10" t="str">
        <f>HYPERLINK("https://pbs.twimg.com/profile_images/1010482880827543552/RRn4kVuB.jpg","View")</f>
        <v>View</v>
      </c>
    </row>
    <row r="1456" spans="1:21" ht="40.799999999999997">
      <c r="A1456" s="6">
        <v>43426.923946759256</v>
      </c>
      <c r="B1456" s="7" t="str">
        <f>HYPERLINK("https://twitter.com/ChuanSanz","@ChuanSanz")</f>
        <v>@ChuanSanz</v>
      </c>
      <c r="C1456" s="8" t="s">
        <v>5598</v>
      </c>
      <c r="D1456" s="9" t="s">
        <v>5599</v>
      </c>
      <c r="E1456" s="10" t="str">
        <f>HYPERLINK("https://twitter.com/ChuanSanz/status/1065714154785394688","1065714154785394688")</f>
        <v>1065714154785394688</v>
      </c>
      <c r="F1456" s="11" t="s">
        <v>556</v>
      </c>
      <c r="G1456" s="12"/>
      <c r="H1456" s="12"/>
      <c r="I1456" s="13">
        <v>0</v>
      </c>
      <c r="J1456" s="13">
        <v>0</v>
      </c>
      <c r="K1456" s="14" t="str">
        <f t="shared" si="229"/>
        <v>Twitter for Android</v>
      </c>
      <c r="L1456" s="13">
        <v>2</v>
      </c>
      <c r="M1456" s="13">
        <v>11</v>
      </c>
      <c r="N1456" s="13">
        <v>0</v>
      </c>
      <c r="O1456" s="15"/>
      <c r="P1456" s="6">
        <v>43426.865844907406</v>
      </c>
      <c r="Q1456" s="17" t="s">
        <v>3033</v>
      </c>
      <c r="R1456" s="18" t="s">
        <v>5600</v>
      </c>
      <c r="S1456" s="12"/>
      <c r="T1456" s="12"/>
      <c r="U1456" s="10" t="str">
        <f>HYPERLINK("https://pbs.twimg.com/profile_images/1065694070142492672/LY3M-y9y.jpg","View")</f>
        <v>View</v>
      </c>
    </row>
    <row r="1457" spans="1:21" ht="40.799999999999997">
      <c r="A1457" s="6">
        <v>43426.923715277779</v>
      </c>
      <c r="B1457" s="7" t="str">
        <f>HYPERLINK("https://twitter.com/CiutadaPistoni","@CiutadaPistoni")</f>
        <v>@CiutadaPistoni</v>
      </c>
      <c r="C1457" s="8" t="s">
        <v>5601</v>
      </c>
      <c r="D1457" s="9" t="s">
        <v>2230</v>
      </c>
      <c r="E1457" s="10" t="str">
        <f>HYPERLINK("https://twitter.com/CiutadaPistoni/status/1065714072677683200","1065714072677683200")</f>
        <v>1065714072677683200</v>
      </c>
      <c r="F1457" s="11" t="s">
        <v>2231</v>
      </c>
      <c r="G1457" s="12"/>
      <c r="H1457" s="12"/>
      <c r="I1457" s="13">
        <v>5</v>
      </c>
      <c r="J1457" s="13">
        <v>5</v>
      </c>
      <c r="K1457" s="14" t="str">
        <f t="shared" si="229"/>
        <v>Twitter for Android</v>
      </c>
      <c r="L1457" s="13">
        <v>343</v>
      </c>
      <c r="M1457" s="13">
        <v>800</v>
      </c>
      <c r="N1457" s="13">
        <v>1</v>
      </c>
      <c r="O1457" s="15"/>
      <c r="P1457" s="6">
        <v>42993.515439814815</v>
      </c>
      <c r="Q1457" s="17" t="s">
        <v>5562</v>
      </c>
      <c r="R1457" s="18" t="s">
        <v>5602</v>
      </c>
      <c r="S1457" s="12"/>
      <c r="T1457" s="12"/>
      <c r="U1457" s="10" t="str">
        <f>HYPERLINK("https://pbs.twimg.com/profile_images/908641029544402944/nynXc-K9.jpg","View")</f>
        <v>View</v>
      </c>
    </row>
    <row r="1458" spans="1:21" ht="40.799999999999997">
      <c r="A1458" s="6">
        <v>43426.923634259263</v>
      </c>
      <c r="B1458" s="7" t="str">
        <f>HYPERLINK("https://twitter.com/inigodejuana","@inigodejuana")</f>
        <v>@inigodejuana</v>
      </c>
      <c r="C1458" s="8" t="s">
        <v>5588</v>
      </c>
      <c r="D1458" s="9" t="s">
        <v>5603</v>
      </c>
      <c r="E1458" s="10" t="str">
        <f>HYPERLINK("https://twitter.com/inigodejuana/status/1065714044714274817","1065714044714274817")</f>
        <v>1065714044714274817</v>
      </c>
      <c r="F1458" s="11" t="s">
        <v>5604</v>
      </c>
      <c r="G1458" s="12"/>
      <c r="H1458" s="12"/>
      <c r="I1458" s="13">
        <v>0</v>
      </c>
      <c r="J1458" s="13">
        <v>0</v>
      </c>
      <c r="K1458" s="14" t="str">
        <f>HYPERLINK("http://www.facebook.com/twitter","Facebook")</f>
        <v>Facebook</v>
      </c>
      <c r="L1458" s="13">
        <v>42393</v>
      </c>
      <c r="M1458" s="13">
        <v>51246</v>
      </c>
      <c r="N1458" s="13">
        <v>255</v>
      </c>
      <c r="O1458" s="15"/>
      <c r="P1458" s="6">
        <v>40831.112256944441</v>
      </c>
      <c r="Q1458" s="17" t="s">
        <v>5591</v>
      </c>
      <c r="R1458" s="18" t="s">
        <v>5592</v>
      </c>
      <c r="S1458" s="11" t="s">
        <v>5593</v>
      </c>
      <c r="T1458" s="12"/>
      <c r="U1458" s="10" t="str">
        <f>HYPERLINK("https://pbs.twimg.com/profile_images/900048281375584257/TrbK7dzb.jpg","View")</f>
        <v>View</v>
      </c>
    </row>
    <row r="1459" spans="1:21" ht="40.799999999999997">
      <c r="A1459" s="6">
        <v>43426.922349537039</v>
      </c>
      <c r="B1459" s="7" t="str">
        <f>HYPERLINK("https://twitter.com/fautentica","@fautentica")</f>
        <v>@fautentica</v>
      </c>
      <c r="C1459" s="8" t="s">
        <v>5605</v>
      </c>
      <c r="D1459" s="9" t="s">
        <v>5606</v>
      </c>
      <c r="E1459" s="10" t="str">
        <f>HYPERLINK("https://twitter.com/fautentica/status/1065713578446082048","1065713578446082048")</f>
        <v>1065713578446082048</v>
      </c>
      <c r="F1459" s="11" t="s">
        <v>641</v>
      </c>
      <c r="G1459" s="12"/>
      <c r="H1459" s="12"/>
      <c r="I1459" s="13">
        <v>0</v>
      </c>
      <c r="J1459" s="13">
        <v>0</v>
      </c>
      <c r="K1459" s="14" t="str">
        <f>HYPERLINK("https://about.twitter.com/products/tweetdeck","TweetDeck")</f>
        <v>TweetDeck</v>
      </c>
      <c r="L1459" s="13">
        <v>2344</v>
      </c>
      <c r="M1459" s="13">
        <v>677</v>
      </c>
      <c r="N1459" s="13">
        <v>40</v>
      </c>
      <c r="O1459" s="15"/>
      <c r="P1459" s="6">
        <v>40330.982129629629</v>
      </c>
      <c r="Q1459" s="17" t="s">
        <v>28</v>
      </c>
      <c r="R1459" s="18" t="s">
        <v>5607</v>
      </c>
      <c r="S1459" s="11" t="s">
        <v>5608</v>
      </c>
      <c r="T1459" s="12"/>
      <c r="U1459" s="10" t="str">
        <f>HYPERLINK("https://pbs.twimg.com/profile_images/1062319453294247936/JX789OOt.jpg","View")</f>
        <v>View</v>
      </c>
    </row>
    <row r="1460" spans="1:21" ht="30.6">
      <c r="A1460" s="6">
        <v>43426.921921296293</v>
      </c>
      <c r="B1460" s="7" t="str">
        <f>HYPERLINK("https://twitter.com/mehuelea","@mehuelea")</f>
        <v>@mehuelea</v>
      </c>
      <c r="C1460" s="8" t="s">
        <v>5609</v>
      </c>
      <c r="D1460" s="9" t="s">
        <v>5610</v>
      </c>
      <c r="E1460" s="10" t="str">
        <f>HYPERLINK("https://twitter.com/mehuelea/status/1065713421717516288","1065713421717516288")</f>
        <v>1065713421717516288</v>
      </c>
      <c r="F1460" s="11" t="s">
        <v>5611</v>
      </c>
      <c r="G1460" s="12"/>
      <c r="H1460" s="12"/>
      <c r="I1460" s="13">
        <v>0</v>
      </c>
      <c r="J1460" s="13">
        <v>0</v>
      </c>
      <c r="K1460" s="14" t="str">
        <f>HYPERLINK("http://twitter.com/download/android","Twitter for Android")</f>
        <v>Twitter for Android</v>
      </c>
      <c r="L1460" s="13">
        <v>3338</v>
      </c>
      <c r="M1460" s="13">
        <v>2737</v>
      </c>
      <c r="N1460" s="13">
        <v>26</v>
      </c>
      <c r="O1460" s="15"/>
      <c r="P1460" s="6">
        <v>40682.359872685185</v>
      </c>
      <c r="Q1460" s="17" t="s">
        <v>5612</v>
      </c>
      <c r="R1460" s="18" t="s">
        <v>5613</v>
      </c>
      <c r="S1460" s="11" t="s">
        <v>5614</v>
      </c>
      <c r="T1460" s="12"/>
      <c r="U1460" s="10" t="str">
        <f>HYPERLINK("https://pbs.twimg.com/profile_images/786420110919696384/2z6X6h6j.jpg","View")</f>
        <v>View</v>
      </c>
    </row>
    <row r="1461" spans="1:21" ht="20.399999999999999">
      <c r="A1461" s="6">
        <v>43426.921736111108</v>
      </c>
      <c r="B1461" s="7" t="str">
        <f>HYPERLINK("https://twitter.com/PepeJavi","@PepeJavi")</f>
        <v>@PepeJavi</v>
      </c>
      <c r="C1461" s="8" t="s">
        <v>5615</v>
      </c>
      <c r="D1461" s="9" t="s">
        <v>5616</v>
      </c>
      <c r="E1461" s="10" t="str">
        <f>HYPERLINK("https://twitter.com/PepeJavi/status/1065713355980226560","1065713355980226560")</f>
        <v>1065713355980226560</v>
      </c>
      <c r="F1461" s="12"/>
      <c r="G1461" s="12"/>
      <c r="H1461" s="12"/>
      <c r="I1461" s="13">
        <v>0</v>
      </c>
      <c r="J1461" s="13">
        <v>2</v>
      </c>
      <c r="K1461" s="14" t="str">
        <f t="shared" ref="K1461:K1462" si="230">HYPERLINK("http://twitter.com","Twitter Web Client")</f>
        <v>Twitter Web Client</v>
      </c>
      <c r="L1461" s="13">
        <v>2944</v>
      </c>
      <c r="M1461" s="13">
        <v>1822</v>
      </c>
      <c r="N1461" s="13">
        <v>23</v>
      </c>
      <c r="O1461" s="15"/>
      <c r="P1461" s="6">
        <v>40973.557546296295</v>
      </c>
      <c r="Q1461" s="17" t="s">
        <v>28</v>
      </c>
      <c r="R1461" s="18" t="s">
        <v>5617</v>
      </c>
      <c r="S1461" s="12"/>
      <c r="T1461" s="12"/>
      <c r="U1461" s="10" t="str">
        <f>HYPERLINK("https://pbs.twimg.com/profile_images/950363368979869696/NIK5bJ3M.jpg","View")</f>
        <v>View</v>
      </c>
    </row>
    <row r="1462" spans="1:21" ht="40.799999999999997">
      <c r="A1462" s="6">
        <v>43426.921620370369</v>
      </c>
      <c r="B1462" s="7" t="str">
        <f>HYPERLINK("https://twitter.com/goslum","@goslum")</f>
        <v>@goslum</v>
      </c>
      <c r="C1462" s="8" t="s">
        <v>2775</v>
      </c>
      <c r="D1462" s="9" t="s">
        <v>5618</v>
      </c>
      <c r="E1462" s="10" t="str">
        <f>HYPERLINK("https://twitter.com/goslum/status/1065713314121035776","1065713314121035776")</f>
        <v>1065713314121035776</v>
      </c>
      <c r="F1462" s="12"/>
      <c r="G1462" s="12"/>
      <c r="H1462" s="12"/>
      <c r="I1462" s="13">
        <v>1</v>
      </c>
      <c r="J1462" s="13">
        <v>1</v>
      </c>
      <c r="K1462" s="14" t="str">
        <f t="shared" si="230"/>
        <v>Twitter Web Client</v>
      </c>
      <c r="L1462" s="13">
        <v>8180</v>
      </c>
      <c r="M1462" s="13">
        <v>304</v>
      </c>
      <c r="N1462" s="13">
        <v>93</v>
      </c>
      <c r="O1462" s="15"/>
      <c r="P1462" s="6">
        <v>41141.618148148147</v>
      </c>
      <c r="Q1462" s="12"/>
      <c r="R1462" s="27" t="s">
        <v>2777</v>
      </c>
      <c r="S1462" s="12"/>
      <c r="T1462" s="12"/>
      <c r="U1462" s="10" t="str">
        <f>HYPERLINK("https://pbs.twimg.com/profile_images/959315561099411456/rdONeA44.jpg","View")</f>
        <v>View</v>
      </c>
    </row>
    <row r="1463" spans="1:21" ht="20.399999999999999">
      <c r="A1463" s="6">
        <v>43426.921527777777</v>
      </c>
      <c r="B1463" s="7" t="str">
        <f>HYPERLINK("https://twitter.com/EP_Mundo","@EP_Mundo")</f>
        <v>@EP_Mundo</v>
      </c>
      <c r="C1463" s="8" t="s">
        <v>298</v>
      </c>
      <c r="D1463" s="9" t="s">
        <v>299</v>
      </c>
      <c r="E1463" s="10" t="str">
        <f>HYPERLINK("https://twitter.com/EP_Mundo/status/1065713280470142977","1065713280470142977")</f>
        <v>1065713280470142977</v>
      </c>
      <c r="F1463" s="11" t="s">
        <v>99</v>
      </c>
      <c r="G1463" s="11" t="s">
        <v>5619</v>
      </c>
      <c r="H1463" s="12"/>
      <c r="I1463" s="13">
        <v>0</v>
      </c>
      <c r="J1463" s="13">
        <v>0</v>
      </c>
      <c r="K1463" s="14" t="str">
        <f>HYPERLINK("http://epmundo.com","Tuiteo TOP EP (2)")</f>
        <v>Tuiteo TOP EP (2)</v>
      </c>
      <c r="L1463" s="13">
        <v>510632</v>
      </c>
      <c r="M1463" s="13">
        <v>302207</v>
      </c>
      <c r="N1463" s="13">
        <v>1367</v>
      </c>
      <c r="O1463" s="15"/>
      <c r="P1463" s="6">
        <v>40203.223078703704</v>
      </c>
      <c r="Q1463" s="12"/>
      <c r="R1463" s="18" t="s">
        <v>303</v>
      </c>
      <c r="S1463" s="11" t="s">
        <v>304</v>
      </c>
      <c r="T1463" s="12"/>
      <c r="U1463" s="10" t="str">
        <f>HYPERLINK("https://pbs.twimg.com/profile_images/958329583778099200/87-xiuzB.jpg","View")</f>
        <v>View</v>
      </c>
    </row>
    <row r="1464" spans="1:21" ht="20.399999999999999">
      <c r="A1464" s="6">
        <v>43426.921296296292</v>
      </c>
      <c r="B1464" s="7" t="str">
        <f>HYPERLINK("https://twitter.com/Julianvirome","@Julianvirome")</f>
        <v>@Julianvirome</v>
      </c>
      <c r="C1464" s="8" t="s">
        <v>5114</v>
      </c>
      <c r="D1464" s="9" t="s">
        <v>5620</v>
      </c>
      <c r="E1464" s="10" t="str">
        <f>HYPERLINK("https://twitter.com/Julianvirome/status/1065713197653639170","1065713197653639170")</f>
        <v>1065713197653639170</v>
      </c>
      <c r="F1464" s="11" t="s">
        <v>5621</v>
      </c>
      <c r="G1464" s="12"/>
      <c r="H1464" s="12"/>
      <c r="I1464" s="13">
        <v>2</v>
      </c>
      <c r="J1464" s="13">
        <v>0</v>
      </c>
      <c r="K1464" s="14" t="str">
        <f>HYPERLINK("http://twitter.com/download/android","Twitter for Android")</f>
        <v>Twitter for Android</v>
      </c>
      <c r="L1464" s="13">
        <v>2634</v>
      </c>
      <c r="M1464" s="13">
        <v>4992</v>
      </c>
      <c r="N1464" s="13">
        <v>23</v>
      </c>
      <c r="O1464" s="15"/>
      <c r="P1464" s="6">
        <v>40630.875810185185</v>
      </c>
      <c r="Q1464" s="17" t="s">
        <v>72</v>
      </c>
      <c r="R1464" s="18" t="s">
        <v>5116</v>
      </c>
      <c r="S1464" s="12"/>
      <c r="T1464" s="12"/>
      <c r="U1464" s="10" t="str">
        <f>HYPERLINK("https://pbs.twimg.com/profile_images/1015475281803530241/aBROVKXy.jpg","View")</f>
        <v>View</v>
      </c>
    </row>
    <row r="1465" spans="1:21" ht="20.399999999999999">
      <c r="A1465" s="6">
        <v>43426.920949074076</v>
      </c>
      <c r="B1465" s="7" t="str">
        <f>HYPERLINK("https://twitter.com/Diequi","@Diequi")</f>
        <v>@Diequi</v>
      </c>
      <c r="C1465" s="8" t="s">
        <v>5622</v>
      </c>
      <c r="D1465" s="9" t="s">
        <v>5073</v>
      </c>
      <c r="E1465" s="10" t="str">
        <f>HYPERLINK("https://twitter.com/Diequi/status/1065713071904178176","1065713071904178176")</f>
        <v>1065713071904178176</v>
      </c>
      <c r="F1465" s="11" t="s">
        <v>607</v>
      </c>
      <c r="G1465" s="12"/>
      <c r="H1465" s="12"/>
      <c r="I1465" s="13">
        <v>1</v>
      </c>
      <c r="J1465" s="13">
        <v>0</v>
      </c>
      <c r="K1465" s="14" t="str">
        <f>HYPERLINK("http://twitter.com","Twitter Web Client")</f>
        <v>Twitter Web Client</v>
      </c>
      <c r="L1465" s="13">
        <v>1622</v>
      </c>
      <c r="M1465" s="13">
        <v>1215</v>
      </c>
      <c r="N1465" s="13">
        <v>23</v>
      </c>
      <c r="O1465" s="15"/>
      <c r="P1465" s="6">
        <v>39901.798726851848</v>
      </c>
      <c r="Q1465" s="17" t="s">
        <v>5623</v>
      </c>
      <c r="R1465" s="18" t="s">
        <v>5624</v>
      </c>
      <c r="S1465" s="12"/>
      <c r="T1465" s="12"/>
      <c r="U1465" s="10" t="str">
        <f>HYPERLINK("https://pbs.twimg.com/profile_images/852215011514736641/87u5CEqx.jpg","View")</f>
        <v>View</v>
      </c>
    </row>
    <row r="1466" spans="1:21" ht="20.399999999999999">
      <c r="A1466" s="6">
        <v>43426.92086805556</v>
      </c>
      <c r="B1466" s="7" t="str">
        <f>HYPERLINK("https://twitter.com/forrestal1","@forrestal1")</f>
        <v>@forrestal1</v>
      </c>
      <c r="C1466" s="8" t="s">
        <v>5625</v>
      </c>
      <c r="D1466" s="9" t="s">
        <v>2981</v>
      </c>
      <c r="E1466" s="10" t="str">
        <f>HYPERLINK("https://twitter.com/forrestal1/status/1065713038408515584","1065713038408515584")</f>
        <v>1065713038408515584</v>
      </c>
      <c r="F1466" s="11" t="s">
        <v>5626</v>
      </c>
      <c r="G1466" s="12"/>
      <c r="H1466" s="12"/>
      <c r="I1466" s="13">
        <v>0</v>
      </c>
      <c r="J1466" s="13">
        <v>0</v>
      </c>
      <c r="K1466" s="14" t="str">
        <f>HYPERLINK("http://twitter.com/download/iphone","Twitter for iPhone")</f>
        <v>Twitter for iPhone</v>
      </c>
      <c r="L1466" s="13">
        <v>279</v>
      </c>
      <c r="M1466" s="13">
        <v>571</v>
      </c>
      <c r="N1466" s="13">
        <v>3</v>
      </c>
      <c r="O1466" s="15"/>
      <c r="P1466" s="6">
        <v>40685.583067129628</v>
      </c>
      <c r="Q1466" s="12"/>
      <c r="R1466" s="19"/>
      <c r="S1466" s="12"/>
      <c r="T1466" s="12"/>
      <c r="U1466" s="10" t="str">
        <f>HYPERLINK("https://pbs.twimg.com/profile_images/3785305351/9f94a1a77bea95c815dfc8c79438241b.jpeg","View")</f>
        <v>View</v>
      </c>
    </row>
    <row r="1467" spans="1:21" ht="20.399999999999999">
      <c r="A1467" s="6">
        <v>43426.919525462959</v>
      </c>
      <c r="B1467" s="7" t="str">
        <f>HYPERLINK("https://twitter.com/rosendonamar","@rosendonamar")</f>
        <v>@rosendonamar</v>
      </c>
      <c r="C1467" s="8" t="s">
        <v>5627</v>
      </c>
      <c r="D1467" s="9" t="s">
        <v>1548</v>
      </c>
      <c r="E1467" s="10" t="str">
        <f>HYPERLINK("https://twitter.com/rosendonamar/status/1065712555438628864","1065712555438628864")</f>
        <v>1065712555438628864</v>
      </c>
      <c r="F1467" s="11" t="s">
        <v>5628</v>
      </c>
      <c r="G1467" s="12"/>
      <c r="H1467" s="12"/>
      <c r="I1467" s="13">
        <v>0</v>
      </c>
      <c r="J1467" s="13">
        <v>0</v>
      </c>
      <c r="K1467" s="14" t="str">
        <f>HYPERLINK("http://twitter.com/#!/download/ipad","Twitter for iPad")</f>
        <v>Twitter for iPad</v>
      </c>
      <c r="L1467" s="13">
        <v>116</v>
      </c>
      <c r="M1467" s="13">
        <v>249</v>
      </c>
      <c r="N1467" s="13">
        <v>5</v>
      </c>
      <c r="O1467" s="15"/>
      <c r="P1467" s="6">
        <v>40910.961354166662</v>
      </c>
      <c r="Q1467" s="17" t="s">
        <v>1273</v>
      </c>
      <c r="R1467" s="18" t="s">
        <v>5629</v>
      </c>
      <c r="S1467" s="12"/>
      <c r="T1467" s="12"/>
      <c r="U1467" s="10" t="str">
        <f>HYPERLINK("https://pbs.twimg.com/profile_images/1015691520194895873/elcs0Daq.jpg","View")</f>
        <v>View</v>
      </c>
    </row>
    <row r="1468" spans="1:21" ht="40.799999999999997">
      <c r="A1468" s="6">
        <v>43426.91883101852</v>
      </c>
      <c r="B1468" s="7" t="str">
        <f>HYPERLINK("https://twitter.com/caballodbolivar","@caballodbolivar")</f>
        <v>@caballodbolivar</v>
      </c>
      <c r="C1468" s="8" t="s">
        <v>5630</v>
      </c>
      <c r="D1468" s="9" t="s">
        <v>5631</v>
      </c>
      <c r="E1468" s="10" t="str">
        <f>HYPERLINK("https://twitter.com/caballodbolivar/status/1065712300814987264","1065712300814987264")</f>
        <v>1065712300814987264</v>
      </c>
      <c r="F1468" s="11" t="s">
        <v>5632</v>
      </c>
      <c r="G1468" s="12"/>
      <c r="H1468" s="12"/>
      <c r="I1468" s="13">
        <v>0</v>
      </c>
      <c r="J1468" s="13">
        <v>0</v>
      </c>
      <c r="K1468" s="14" t="str">
        <f>HYPERLINK("https://ifttt.com","IFTTT")</f>
        <v>IFTTT</v>
      </c>
      <c r="L1468" s="13">
        <v>190</v>
      </c>
      <c r="M1468" s="13">
        <v>333</v>
      </c>
      <c r="N1468" s="13">
        <v>0</v>
      </c>
      <c r="O1468" s="15"/>
      <c r="P1468" s="6">
        <v>42870.980613425927</v>
      </c>
      <c r="Q1468" s="17" t="s">
        <v>104</v>
      </c>
      <c r="R1468" s="18" t="s">
        <v>5633</v>
      </c>
      <c r="S1468" s="12"/>
      <c r="T1468" s="12"/>
      <c r="U1468" s="10" t="str">
        <f>HYPERLINK("https://pbs.twimg.com/profile_images/905452722094309378/3x-8lZac.jpg","View")</f>
        <v>View</v>
      </c>
    </row>
    <row r="1469" spans="1:21" ht="30.6">
      <c r="A1469" s="6">
        <v>43426.918796296297</v>
      </c>
      <c r="B1469" s="7" t="str">
        <f>HYPERLINK("https://twitter.com/rafalino71","@rafalino71")</f>
        <v>@rafalino71</v>
      </c>
      <c r="C1469" s="8" t="s">
        <v>761</v>
      </c>
      <c r="D1469" s="9" t="s">
        <v>1143</v>
      </c>
      <c r="E1469" s="10" t="str">
        <f>HYPERLINK("https://twitter.com/rafalino71/status/1065712290165637120","1065712290165637120")</f>
        <v>1065712290165637120</v>
      </c>
      <c r="F1469" s="11" t="s">
        <v>5634</v>
      </c>
      <c r="G1469" s="12"/>
      <c r="H1469" s="12"/>
      <c r="I1469" s="13">
        <v>0</v>
      </c>
      <c r="J1469" s="13">
        <v>0</v>
      </c>
      <c r="K1469" s="14" t="str">
        <f>HYPERLINK("http://twitter.com","Twitter Web Client")</f>
        <v>Twitter Web Client</v>
      </c>
      <c r="L1469" s="13">
        <v>272</v>
      </c>
      <c r="M1469" s="13">
        <v>995</v>
      </c>
      <c r="N1469" s="13">
        <v>0</v>
      </c>
      <c r="O1469" s="15"/>
      <c r="P1469" s="6">
        <v>42242.782118055555</v>
      </c>
      <c r="Q1469" s="17" t="s">
        <v>763</v>
      </c>
      <c r="R1469" s="18" t="s">
        <v>764</v>
      </c>
      <c r="S1469" s="12"/>
      <c r="T1469" s="12"/>
      <c r="U1469" s="10" t="str">
        <f>HYPERLINK("https://pbs.twimg.com/profile_images/636581458577068033/vAwdEi1B.jpg","View")</f>
        <v>View</v>
      </c>
    </row>
    <row r="1470" spans="1:21" ht="30.6">
      <c r="A1470" s="6">
        <v>43426.918587962966</v>
      </c>
      <c r="B1470" s="7" t="str">
        <f>HYPERLINK("https://twitter.com/moncho_frade","@moncho_frade")</f>
        <v>@moncho_frade</v>
      </c>
      <c r="C1470" s="8" t="s">
        <v>5635</v>
      </c>
      <c r="D1470" s="9" t="s">
        <v>5636</v>
      </c>
      <c r="E1470" s="10" t="str">
        <f>HYPERLINK("https://twitter.com/moncho_frade/status/1065712214601027584","1065712214601027584")</f>
        <v>1065712214601027584</v>
      </c>
      <c r="F1470" s="12"/>
      <c r="G1470" s="11" t="s">
        <v>5637</v>
      </c>
      <c r="H1470" s="12"/>
      <c r="I1470" s="13">
        <v>0</v>
      </c>
      <c r="J1470" s="13">
        <v>2</v>
      </c>
      <c r="K1470" s="14" t="str">
        <f>HYPERLINK("http://twitter.com/download/iphone","Twitter for iPhone")</f>
        <v>Twitter for iPhone</v>
      </c>
      <c r="L1470" s="13">
        <v>68</v>
      </c>
      <c r="M1470" s="13">
        <v>37</v>
      </c>
      <c r="N1470" s="13">
        <v>2</v>
      </c>
      <c r="O1470" s="15"/>
      <c r="P1470" s="6">
        <v>42565.876215277778</v>
      </c>
      <c r="Q1470" s="17" t="s">
        <v>5638</v>
      </c>
      <c r="R1470" s="18" t="s">
        <v>5639</v>
      </c>
      <c r="S1470" s="12"/>
      <c r="T1470" s="12"/>
      <c r="U1470" s="10" t="str">
        <f>HYPERLINK("https://pbs.twimg.com/profile_images/848636916920668164/XnoHFcMm.jpg","View")</f>
        <v>View</v>
      </c>
    </row>
    <row r="1471" spans="1:21" ht="30.6">
      <c r="A1471" s="6">
        <v>43426.91777777778</v>
      </c>
      <c r="B1471" s="7" t="str">
        <f>HYPERLINK("https://twitter.com/_barbazul5","@_barbazul5")</f>
        <v>@_barbazul5</v>
      </c>
      <c r="C1471" s="8" t="s">
        <v>91</v>
      </c>
      <c r="D1471" s="9" t="s">
        <v>5641</v>
      </c>
      <c r="E1471" s="10" t="str">
        <f>HYPERLINK("https://twitter.com/_barbazul5/status/1065711919670136832","1065711919670136832")</f>
        <v>1065711919670136832</v>
      </c>
      <c r="F1471" s="11" t="s">
        <v>5157</v>
      </c>
      <c r="G1471" s="12"/>
      <c r="H1471" s="12"/>
      <c r="I1471" s="13">
        <v>0</v>
      </c>
      <c r="J1471" s="13">
        <v>0</v>
      </c>
      <c r="K1471" s="14" t="str">
        <f>HYPERLINK("http://www.facebook.com/twitter","Facebook")</f>
        <v>Facebook</v>
      </c>
      <c r="L1471" s="13">
        <v>217</v>
      </c>
      <c r="M1471" s="13">
        <v>165</v>
      </c>
      <c r="N1471" s="13">
        <v>7</v>
      </c>
      <c r="O1471" s="15"/>
      <c r="P1471" s="6">
        <v>40817.404641203706</v>
      </c>
      <c r="Q1471" s="17" t="s">
        <v>94</v>
      </c>
      <c r="R1471" s="19"/>
      <c r="S1471" s="11" t="s">
        <v>95</v>
      </c>
      <c r="T1471" s="12"/>
      <c r="U1471" s="10" t="str">
        <f>HYPERLINK("https://pbs.twimg.com/profile_images/673976526690480128/jgM3TH1Y.jpg","View")</f>
        <v>View</v>
      </c>
    </row>
    <row r="1472" spans="1:21" ht="13.2">
      <c r="A1472" s="6">
        <v>43426.917569444442</v>
      </c>
      <c r="B1472" s="7" t="str">
        <f>HYPERLINK("https://twitter.com/ConchyCDC","@ConchyCDC")</f>
        <v>@ConchyCDC</v>
      </c>
      <c r="C1472" s="8" t="s">
        <v>5642</v>
      </c>
      <c r="D1472" s="9" t="s">
        <v>1937</v>
      </c>
      <c r="E1472" s="10" t="str">
        <f>HYPERLINK("https://twitter.com/ConchyCDC/status/1065711845481349120","1065711845481349120")</f>
        <v>1065711845481349120</v>
      </c>
      <c r="F1472" s="11" t="s">
        <v>5643</v>
      </c>
      <c r="G1472" s="12"/>
      <c r="H1472" s="12"/>
      <c r="I1472" s="13">
        <v>0</v>
      </c>
      <c r="J1472" s="13">
        <v>0</v>
      </c>
      <c r="K1472" s="14" t="str">
        <f t="shared" ref="K1472:K1474" si="231">HYPERLINK("http://twitter.com/download/android","Twitter for Android")</f>
        <v>Twitter for Android</v>
      </c>
      <c r="L1472" s="13">
        <v>107</v>
      </c>
      <c r="M1472" s="13">
        <v>97</v>
      </c>
      <c r="N1472" s="13">
        <v>0</v>
      </c>
      <c r="O1472" s="15"/>
      <c r="P1472" s="6">
        <v>41654.793275462966</v>
      </c>
      <c r="Q1472" s="12"/>
      <c r="R1472" s="19"/>
      <c r="S1472" s="12"/>
      <c r="T1472" s="12"/>
      <c r="U1472" s="10" t="str">
        <f>HYPERLINK("https://pbs.twimg.com/profile_images/423516030246584320/uYDt62Gp.jpeg","View")</f>
        <v>View</v>
      </c>
    </row>
    <row r="1473" spans="1:21" ht="20.399999999999999">
      <c r="A1473" s="6">
        <v>43426.917361111111</v>
      </c>
      <c r="B1473" s="7" t="str">
        <f>HYPERLINK("https://twitter.com/vic_almiron","@vic_almiron")</f>
        <v>@vic_almiron</v>
      </c>
      <c r="C1473" s="8" t="s">
        <v>5644</v>
      </c>
      <c r="D1473" s="9" t="s">
        <v>5645</v>
      </c>
      <c r="E1473" s="10" t="str">
        <f>HYPERLINK("https://twitter.com/vic_almiron/status/1065711770466164741","1065711770466164741")</f>
        <v>1065711770466164741</v>
      </c>
      <c r="F1473" s="12"/>
      <c r="G1473" s="11" t="s">
        <v>5646</v>
      </c>
      <c r="H1473" s="12"/>
      <c r="I1473" s="13">
        <v>2</v>
      </c>
      <c r="J1473" s="13">
        <v>10</v>
      </c>
      <c r="K1473" s="14" t="str">
        <f t="shared" si="231"/>
        <v>Twitter for Android</v>
      </c>
      <c r="L1473" s="13">
        <v>2049</v>
      </c>
      <c r="M1473" s="13">
        <v>1231</v>
      </c>
      <c r="N1473" s="13">
        <v>86</v>
      </c>
      <c r="O1473" s="15"/>
      <c r="P1473" s="6">
        <v>40448.670092592591</v>
      </c>
      <c r="Q1473" s="17" t="s">
        <v>72</v>
      </c>
      <c r="R1473" s="18" t="s">
        <v>5647</v>
      </c>
      <c r="S1473" s="11" t="s">
        <v>5648</v>
      </c>
      <c r="T1473" s="12"/>
      <c r="U1473" s="10" t="str">
        <f>HYPERLINK("https://pbs.twimg.com/profile_images/851126623441211393/bNJrdJaS.jpg","View")</f>
        <v>View</v>
      </c>
    </row>
    <row r="1474" spans="1:21" ht="40.799999999999997">
      <c r="A1474" s="6">
        <v>43426.917118055557</v>
      </c>
      <c r="B1474" s="7" t="str">
        <f>HYPERLINK("https://twitter.com/Labichata","@Labichata")</f>
        <v>@Labichata</v>
      </c>
      <c r="C1474" s="8" t="s">
        <v>5649</v>
      </c>
      <c r="D1474" s="9" t="s">
        <v>5650</v>
      </c>
      <c r="E1474" s="10" t="str">
        <f>HYPERLINK("https://twitter.com/Labichata/status/1065711679558828034","1065711679558828034")</f>
        <v>1065711679558828034</v>
      </c>
      <c r="F1474" s="11" t="s">
        <v>5651</v>
      </c>
      <c r="G1474" s="12"/>
      <c r="H1474" s="12"/>
      <c r="I1474" s="13">
        <v>0</v>
      </c>
      <c r="J1474" s="13">
        <v>0</v>
      </c>
      <c r="K1474" s="14" t="str">
        <f t="shared" si="231"/>
        <v>Twitter for Android</v>
      </c>
      <c r="L1474" s="13">
        <v>759</v>
      </c>
      <c r="M1474" s="13">
        <v>1841</v>
      </c>
      <c r="N1474" s="13">
        <v>5</v>
      </c>
      <c r="O1474" s="15"/>
      <c r="P1474" s="6">
        <v>43012.854178240741</v>
      </c>
      <c r="Q1474" s="17" t="s">
        <v>5652</v>
      </c>
      <c r="R1474" s="18" t="s">
        <v>5653</v>
      </c>
      <c r="S1474" s="12"/>
      <c r="T1474" s="12"/>
      <c r="U1474" s="10" t="str">
        <f>HYPERLINK("https://pbs.twimg.com/profile_images/963115270666629124/egWberfX.jpg","View")</f>
        <v>View</v>
      </c>
    </row>
    <row r="1475" spans="1:21" ht="40.799999999999997">
      <c r="A1475" s="6">
        <v>43426.917094907403</v>
      </c>
      <c r="B1475" s="7" t="str">
        <f>HYPERLINK("https://twitter.com/elpais_america","@elpais_america")</f>
        <v>@elpais_america</v>
      </c>
      <c r="C1475" s="8" t="s">
        <v>5654</v>
      </c>
      <c r="D1475" s="9" t="s">
        <v>5631</v>
      </c>
      <c r="E1475" s="10" t="str">
        <f>HYPERLINK("https://twitter.com/elpais_america/status/1065711674341109762","1065711674341109762")</f>
        <v>1065711674341109762</v>
      </c>
      <c r="F1475" s="11" t="s">
        <v>5632</v>
      </c>
      <c r="G1475" s="12"/>
      <c r="H1475" s="12"/>
      <c r="I1475" s="13">
        <v>3</v>
      </c>
      <c r="J1475" s="13">
        <v>4</v>
      </c>
      <c r="K1475" s="14" t="str">
        <f>HYPERLINK("https://www.hootsuite.com","Hootsuite Inc.")</f>
        <v>Hootsuite Inc.</v>
      </c>
      <c r="L1475" s="13">
        <v>228477</v>
      </c>
      <c r="M1475" s="13">
        <v>844</v>
      </c>
      <c r="N1475" s="13">
        <v>2950</v>
      </c>
      <c r="O1475" s="16" t="s">
        <v>26</v>
      </c>
      <c r="P1475" s="6">
        <v>41338.820335648146</v>
      </c>
      <c r="Q1475" s="12"/>
      <c r="R1475" s="18" t="s">
        <v>5655</v>
      </c>
      <c r="S1475" s="11" t="s">
        <v>3503</v>
      </c>
      <c r="T1475" s="12"/>
      <c r="U1475" s="10" t="str">
        <f>HYPERLINK("https://pbs.twimg.com/profile_images/880484705379823616/Ow5l68O3.jpg","View")</f>
        <v>View</v>
      </c>
    </row>
    <row r="1476" spans="1:21" ht="30.6">
      <c r="A1476" s="6">
        <v>43426.916678240741</v>
      </c>
      <c r="B1476" s="7" t="str">
        <f>HYPERLINK("https://twitter.com/noticias_cuatro","@noticias_cuatro")</f>
        <v>@noticias_cuatro</v>
      </c>
      <c r="C1476" s="8" t="s">
        <v>5656</v>
      </c>
      <c r="D1476" s="9" t="s">
        <v>5362</v>
      </c>
      <c r="E1476" s="10" t="str">
        <f>HYPERLINK("https://twitter.com/noticias_cuatro/status/1065711520183533568","1065711520183533568")</f>
        <v>1065711520183533568</v>
      </c>
      <c r="F1476" s="11" t="s">
        <v>5363</v>
      </c>
      <c r="G1476" s="11" t="s">
        <v>5657</v>
      </c>
      <c r="H1476" s="12"/>
      <c r="I1476" s="13">
        <v>1</v>
      </c>
      <c r="J1476" s="13">
        <v>1</v>
      </c>
      <c r="K1476" s="14" t="str">
        <f>HYPERLINK("https://about.twitter.com/products/tweetdeck","TweetDeck")</f>
        <v>TweetDeck</v>
      </c>
      <c r="L1476" s="13">
        <v>829655</v>
      </c>
      <c r="M1476" s="13">
        <v>618</v>
      </c>
      <c r="N1476" s="13">
        <v>4687</v>
      </c>
      <c r="O1476" s="16" t="s">
        <v>26</v>
      </c>
      <c r="P1476" s="6">
        <v>40015.475694444445</v>
      </c>
      <c r="Q1476" s="17" t="s">
        <v>5658</v>
      </c>
      <c r="R1476" s="18" t="s">
        <v>5659</v>
      </c>
      <c r="S1476" s="11" t="s">
        <v>5660</v>
      </c>
      <c r="T1476" s="12"/>
      <c r="U1476" s="10" t="str">
        <f>HYPERLINK("https://pbs.twimg.com/profile_images/912643474855473153/8biMgBID.jpg","View")</f>
        <v>View</v>
      </c>
    </row>
    <row r="1477" spans="1:21" ht="40.799999999999997">
      <c r="A1477" s="6">
        <v>43426.916666666672</v>
      </c>
      <c r="B1477" s="7" t="str">
        <f>HYPERLINK("https://twitter.com/abc_es","@abc_es")</f>
        <v>@abc_es</v>
      </c>
      <c r="C1477" s="20" t="s">
        <v>1574</v>
      </c>
      <c r="D1477" s="9" t="s">
        <v>5661</v>
      </c>
      <c r="E1477" s="10" t="str">
        <f>HYPERLINK("https://twitter.com/abc_es/status/1065711518120140802","1065711518120140802")</f>
        <v>1065711518120140802</v>
      </c>
      <c r="F1477" s="11" t="s">
        <v>5662</v>
      </c>
      <c r="G1477" s="11" t="s">
        <v>5663</v>
      </c>
      <c r="H1477" s="12"/>
      <c r="I1477" s="13">
        <v>9</v>
      </c>
      <c r="J1477" s="13">
        <v>9</v>
      </c>
      <c r="K1477" s="14" t="str">
        <f>HYPERLINK("https://dogtrack.es","DogTrack ABC")</f>
        <v>DogTrack ABC</v>
      </c>
      <c r="L1477" s="13">
        <v>1604209</v>
      </c>
      <c r="M1477" s="13">
        <v>15517</v>
      </c>
      <c r="N1477" s="13">
        <v>17113</v>
      </c>
      <c r="O1477" s="16" t="s">
        <v>26</v>
      </c>
      <c r="P1477" s="6">
        <v>39846.840682870374</v>
      </c>
      <c r="Q1477" s="17" t="s">
        <v>28</v>
      </c>
      <c r="R1477" s="18" t="s">
        <v>1577</v>
      </c>
      <c r="S1477" s="11" t="s">
        <v>1578</v>
      </c>
      <c r="T1477" s="12"/>
      <c r="U1477" s="10" t="str">
        <f>HYPERLINK("https://pbs.twimg.com/profile_images/1053638435309842432/s75OnwdY.jpg","View")</f>
        <v>View</v>
      </c>
    </row>
    <row r="1478" spans="1:21" ht="20.399999999999999">
      <c r="A1478" s="6">
        <v>43426.914826388893</v>
      </c>
      <c r="B1478" s="7" t="str">
        <f>HYPERLINK("https://twitter.com/pacotor76","@pacotor76")</f>
        <v>@pacotor76</v>
      </c>
      <c r="C1478" s="8" t="s">
        <v>5664</v>
      </c>
      <c r="D1478" s="9" t="s">
        <v>5665</v>
      </c>
      <c r="E1478" s="10" t="str">
        <f>HYPERLINK("https://twitter.com/pacotor76/status/1065710850172960768","1065710850172960768")</f>
        <v>1065710850172960768</v>
      </c>
      <c r="F1478" s="12"/>
      <c r="G1478" s="12"/>
      <c r="H1478" s="12"/>
      <c r="I1478" s="13">
        <v>33</v>
      </c>
      <c r="J1478" s="13">
        <v>51</v>
      </c>
      <c r="K1478" s="14" t="str">
        <f>HYPERLINK("http://twitter.com/download/android","Twitter for Android")</f>
        <v>Twitter for Android</v>
      </c>
      <c r="L1478" s="13">
        <v>14284</v>
      </c>
      <c r="M1478" s="13">
        <v>5522</v>
      </c>
      <c r="N1478" s="13">
        <v>88</v>
      </c>
      <c r="O1478" s="15"/>
      <c r="P1478" s="6">
        <v>41687.506469907406</v>
      </c>
      <c r="Q1478" s="17" t="s">
        <v>5666</v>
      </c>
      <c r="R1478" s="18" t="s">
        <v>5667</v>
      </c>
      <c r="S1478" s="12"/>
      <c r="T1478" s="12"/>
      <c r="U1478" s="10" t="str">
        <f>HYPERLINK("https://pbs.twimg.com/profile_images/816976938397040640/z36iNfel.jpg","View")</f>
        <v>View</v>
      </c>
    </row>
    <row r="1479" spans="1:21" ht="40.799999999999997">
      <c r="A1479" s="6">
        <v>43426.914780092593</v>
      </c>
      <c r="B1479" s="7" t="str">
        <f>HYPERLINK("https://twitter.com/777odesa","@777odesa")</f>
        <v>@777odesa</v>
      </c>
      <c r="C1479" s="8" t="s">
        <v>5668</v>
      </c>
      <c r="D1479" s="9" t="s">
        <v>5669</v>
      </c>
      <c r="E1479" s="10" t="str">
        <f>HYPERLINK("https://twitter.com/777odesa/status/1065710834624733184","1065710834624733184")</f>
        <v>1065710834624733184</v>
      </c>
      <c r="F1479" s="12"/>
      <c r="G1479" s="12"/>
      <c r="H1479" s="12"/>
      <c r="I1479" s="13">
        <v>0</v>
      </c>
      <c r="J1479" s="13">
        <v>0</v>
      </c>
      <c r="K1479" s="14" t="str">
        <f>HYPERLINK("http://twitter.com","Twitter Web Client")</f>
        <v>Twitter Web Client</v>
      </c>
      <c r="L1479" s="13">
        <v>8</v>
      </c>
      <c r="M1479" s="13">
        <v>13</v>
      </c>
      <c r="N1479" s="13">
        <v>0</v>
      </c>
      <c r="O1479" s="15"/>
      <c r="P1479" s="6">
        <v>40455.992280092592</v>
      </c>
      <c r="Q1479" s="17" t="s">
        <v>5670</v>
      </c>
      <c r="R1479" s="18" t="s">
        <v>5671</v>
      </c>
      <c r="S1479" s="12"/>
      <c r="T1479" s="12"/>
      <c r="U1479" s="10" t="str">
        <f>HYPERLINK("https://pbs.twimg.com/profile_images/918457994744160258/XlY4A40T.jpg","View")</f>
        <v>View</v>
      </c>
    </row>
    <row r="1480" spans="1:21" ht="40.799999999999997">
      <c r="A1480" s="6">
        <v>43426.914548611108</v>
      </c>
      <c r="B1480" s="7" t="str">
        <f>HYPERLINK("https://twitter.com/nisenicontesto","@nisenicontesto")</f>
        <v>@nisenicontesto</v>
      </c>
      <c r="C1480" s="8" t="s">
        <v>5672</v>
      </c>
      <c r="D1480" s="9" t="s">
        <v>5673</v>
      </c>
      <c r="E1480" s="10" t="str">
        <f>HYPERLINK("https://twitter.com/nisenicontesto/status/1065710748893175810","1065710748893175810")</f>
        <v>1065710748893175810</v>
      </c>
      <c r="F1480" s="11" t="s">
        <v>5674</v>
      </c>
      <c r="G1480" s="12"/>
      <c r="H1480" s="12"/>
      <c r="I1480" s="13">
        <v>0</v>
      </c>
      <c r="J1480" s="13">
        <v>0</v>
      </c>
      <c r="K1480" s="14" t="str">
        <f>HYPERLINK("http://twitter.com/download/iphone","Twitter for iPhone")</f>
        <v>Twitter for iPhone</v>
      </c>
      <c r="L1480" s="13">
        <v>1074</v>
      </c>
      <c r="M1480" s="13">
        <v>795</v>
      </c>
      <c r="N1480" s="13">
        <v>24</v>
      </c>
      <c r="O1480" s="15"/>
      <c r="P1480" s="6">
        <v>40696.930567129632</v>
      </c>
      <c r="Q1480" s="17" t="s">
        <v>158</v>
      </c>
      <c r="R1480" s="18" t="s">
        <v>5675</v>
      </c>
      <c r="S1480" s="12"/>
      <c r="T1480" s="12"/>
      <c r="U1480" s="10" t="str">
        <f>HYPERLINK("https://pbs.twimg.com/profile_images/903594819750166528/ly3DqXML.jpg","View")</f>
        <v>View</v>
      </c>
    </row>
    <row r="1481" spans="1:21" ht="40.799999999999997">
      <c r="A1481" s="6">
        <v>43426.914155092592</v>
      </c>
      <c r="B1481" s="7" t="str">
        <f>HYPERLINK("https://twitter.com/liberalconserva","@liberalconserva")</f>
        <v>@liberalconserva</v>
      </c>
      <c r="C1481" s="8" t="s">
        <v>5676</v>
      </c>
      <c r="D1481" s="9" t="s">
        <v>5677</v>
      </c>
      <c r="E1481" s="10" t="str">
        <f>HYPERLINK("https://twitter.com/liberalconserva/status/1065710607708692480","1065710607708692480")</f>
        <v>1065710607708692480</v>
      </c>
      <c r="F1481" s="11" t="s">
        <v>641</v>
      </c>
      <c r="G1481" s="12"/>
      <c r="H1481" s="12"/>
      <c r="I1481" s="13">
        <v>0</v>
      </c>
      <c r="J1481" s="13">
        <v>0</v>
      </c>
      <c r="K1481" s="14" t="str">
        <f>HYPERLINK("http://twitter.com/download/android","Twitter for Android")</f>
        <v>Twitter for Android</v>
      </c>
      <c r="L1481" s="13">
        <v>590</v>
      </c>
      <c r="M1481" s="13">
        <v>1298</v>
      </c>
      <c r="N1481" s="13">
        <v>15</v>
      </c>
      <c r="O1481" s="15"/>
      <c r="P1481" s="6">
        <v>42314.638425925921</v>
      </c>
      <c r="Q1481" s="17" t="s">
        <v>5678</v>
      </c>
      <c r="R1481" s="19"/>
      <c r="S1481" s="12"/>
      <c r="T1481" s="12"/>
      <c r="U1481" s="16" t="s">
        <v>373</v>
      </c>
    </row>
    <row r="1482" spans="1:21" ht="20.399999999999999">
      <c r="A1482" s="6">
        <v>43426.913819444446</v>
      </c>
      <c r="B1482" s="7" t="str">
        <f>HYPERLINK("https://twitter.com/teleSUR_Cuba","@teleSUR_Cuba")</f>
        <v>@teleSUR_Cuba</v>
      </c>
      <c r="C1482" s="8" t="s">
        <v>3961</v>
      </c>
      <c r="D1482" s="9" t="s">
        <v>5679</v>
      </c>
      <c r="E1482" s="10" t="str">
        <f>HYPERLINK("https://twitter.com/teleSUR_Cuba/status/1065710487122468865","1065710487122468865")</f>
        <v>1065710487122468865</v>
      </c>
      <c r="F1482" s="11" t="s">
        <v>5680</v>
      </c>
      <c r="G1482" s="12"/>
      <c r="H1482" s="12"/>
      <c r="I1482" s="13">
        <v>1</v>
      </c>
      <c r="J1482" s="13">
        <v>1</v>
      </c>
      <c r="K1482" s="14" t="str">
        <f>HYPERLINK("http://multimedia.telesurtv.net","Multimedia teleSUR")</f>
        <v>Multimedia teleSUR</v>
      </c>
      <c r="L1482" s="13">
        <v>16686</v>
      </c>
      <c r="M1482" s="13">
        <v>54</v>
      </c>
      <c r="N1482" s="13">
        <v>152</v>
      </c>
      <c r="O1482" s="15"/>
      <c r="P1482" s="6">
        <v>40578.687673611115</v>
      </c>
      <c r="Q1482" s="17" t="s">
        <v>475</v>
      </c>
      <c r="R1482" s="18" t="s">
        <v>3962</v>
      </c>
      <c r="S1482" s="11" t="s">
        <v>1700</v>
      </c>
      <c r="T1482" s="12"/>
      <c r="U1482" s="10" t="str">
        <f>HYPERLINK("https://pbs.twimg.com/profile_images/378800000735274021/2e9d9b9303bd8f5c5d4c8f3c847e393f.jpeg","View")</f>
        <v>View</v>
      </c>
    </row>
    <row r="1483" spans="1:21" ht="51">
      <c r="A1483" s="6">
        <v>43426.913368055553</v>
      </c>
      <c r="B1483" s="7" t="str">
        <f>HYPERLINK("https://twitter.com/ISpnola","@ISpnola")</f>
        <v>@ISpnola</v>
      </c>
      <c r="C1483" s="8" t="s">
        <v>5681</v>
      </c>
      <c r="D1483" s="9" t="s">
        <v>5682</v>
      </c>
      <c r="E1483" s="10" t="str">
        <f>HYPERLINK("https://twitter.com/ISpnola/status/1065710324442165248","1065710324442165248")</f>
        <v>1065710324442165248</v>
      </c>
      <c r="F1483" s="11" t="s">
        <v>4718</v>
      </c>
      <c r="G1483" s="12"/>
      <c r="H1483" s="12"/>
      <c r="I1483" s="13">
        <v>0</v>
      </c>
      <c r="J1483" s="13">
        <v>0</v>
      </c>
      <c r="K1483" s="14" t="str">
        <f>HYPERLINK("http://twitter.com/#!/download/ipad","Twitter for iPad")</f>
        <v>Twitter for iPad</v>
      </c>
      <c r="L1483" s="13">
        <v>381</v>
      </c>
      <c r="M1483" s="13">
        <v>593</v>
      </c>
      <c r="N1483" s="13">
        <v>0</v>
      </c>
      <c r="O1483" s="15"/>
      <c r="P1483" s="6">
        <v>41471.837453703702</v>
      </c>
      <c r="Q1483" s="12"/>
      <c r="R1483" s="18" t="s">
        <v>5683</v>
      </c>
      <c r="S1483" s="12"/>
      <c r="T1483" s="12"/>
      <c r="U1483" s="10" t="str">
        <f>HYPERLINK("https://pbs.twimg.com/profile_images/948631205066440709/MNCCCiwU.jpg","View")</f>
        <v>View</v>
      </c>
    </row>
    <row r="1484" spans="1:21" ht="20.399999999999999">
      <c r="A1484" s="6">
        <v>43426.913194444445</v>
      </c>
      <c r="B1484" s="7" t="str">
        <f>HYPERLINK("https://twitter.com/cuin1425","@cuin1425")</f>
        <v>@cuin1425</v>
      </c>
      <c r="C1484" s="8" t="s">
        <v>1840</v>
      </c>
      <c r="D1484" s="9" t="s">
        <v>5684</v>
      </c>
      <c r="E1484" s="10" t="str">
        <f>HYPERLINK("https://twitter.com/cuin1425/status/1065710260256681984","1065710260256681984")</f>
        <v>1065710260256681984</v>
      </c>
      <c r="F1484" s="11" t="s">
        <v>5685</v>
      </c>
      <c r="G1484" s="12"/>
      <c r="H1484" s="12"/>
      <c r="I1484" s="13">
        <v>0</v>
      </c>
      <c r="J1484" s="13">
        <v>0</v>
      </c>
      <c r="K1484" s="14" t="str">
        <f>HYPERLINK("http://www.facebook.com/twitter","Facebook")</f>
        <v>Facebook</v>
      </c>
      <c r="L1484" s="13">
        <v>579</v>
      </c>
      <c r="M1484" s="13">
        <v>977</v>
      </c>
      <c r="N1484" s="13">
        <v>13</v>
      </c>
      <c r="O1484" s="15"/>
      <c r="P1484" s="6">
        <v>40274.437928240739</v>
      </c>
      <c r="Q1484" s="17" t="s">
        <v>1842</v>
      </c>
      <c r="R1484" s="18" t="s">
        <v>1843</v>
      </c>
      <c r="S1484" s="12"/>
      <c r="T1484" s="12"/>
      <c r="U1484" s="10" t="str">
        <f>HYPERLINK("https://pbs.twimg.com/profile_images/820055555305832448/qbgSwEuX.jpg","View")</f>
        <v>View</v>
      </c>
    </row>
    <row r="1485" spans="1:21" ht="30.6">
      <c r="A1485" s="6">
        <v>43426.913194444445</v>
      </c>
      <c r="B1485" s="7" t="str">
        <f>HYPERLINK("https://twitter.com/eppolitica_cas","@eppolitica_cas")</f>
        <v>@eppolitica_cas</v>
      </c>
      <c r="C1485" s="8" t="s">
        <v>4093</v>
      </c>
      <c r="D1485" s="9" t="s">
        <v>2295</v>
      </c>
      <c r="E1485" s="10" t="str">
        <f>HYPERLINK("https://twitter.com/eppolitica_cas/status/1065710258251800576","1065710258251800576")</f>
        <v>1065710258251800576</v>
      </c>
      <c r="F1485" s="11" t="s">
        <v>5686</v>
      </c>
      <c r="G1485" s="12"/>
      <c r="H1485" s="12"/>
      <c r="I1485" s="13">
        <v>0</v>
      </c>
      <c r="J1485" s="13">
        <v>0</v>
      </c>
      <c r="K1485" s="14" t="str">
        <f>HYPERLINK("http://dogtrack.es","DogTrack_Oficial")</f>
        <v>DogTrack_Oficial</v>
      </c>
      <c r="L1485" s="13">
        <v>2176</v>
      </c>
      <c r="M1485" s="13">
        <v>417</v>
      </c>
      <c r="N1485" s="13">
        <v>94</v>
      </c>
      <c r="O1485" s="15"/>
      <c r="P1485" s="6">
        <v>40865.720717592594</v>
      </c>
      <c r="Q1485" s="17" t="s">
        <v>191</v>
      </c>
      <c r="R1485" s="18" t="s">
        <v>4096</v>
      </c>
      <c r="S1485" s="11" t="s">
        <v>4097</v>
      </c>
      <c r="T1485" s="12"/>
      <c r="U1485" s="10" t="str">
        <f>HYPERLINK("https://pbs.twimg.com/profile_images/875759451344691201/7oHgCmMx.jpg","View")</f>
        <v>View</v>
      </c>
    </row>
    <row r="1486" spans="1:21" ht="20.399999999999999">
      <c r="A1486" s="6">
        <v>43426.91270833333</v>
      </c>
      <c r="B1486" s="7" t="str">
        <f>HYPERLINK("https://twitter.com/Lori759","@Lori759")</f>
        <v>@Lori759</v>
      </c>
      <c r="C1486" s="8" t="s">
        <v>5687</v>
      </c>
      <c r="D1486" s="9" t="s">
        <v>5688</v>
      </c>
      <c r="E1486" s="10" t="str">
        <f>HYPERLINK("https://twitter.com/Lori759/status/1065710083890442247","1065710083890442247")</f>
        <v>1065710083890442247</v>
      </c>
      <c r="F1486" s="11" t="s">
        <v>5689</v>
      </c>
      <c r="G1486" s="12"/>
      <c r="H1486" s="12"/>
      <c r="I1486" s="13">
        <v>1</v>
      </c>
      <c r="J1486" s="13">
        <v>1</v>
      </c>
      <c r="K1486" s="14" t="str">
        <f>HYPERLINK("http://twitter.com/download/android","Twitter for Android")</f>
        <v>Twitter for Android</v>
      </c>
      <c r="L1486" s="13">
        <v>4123</v>
      </c>
      <c r="M1486" s="13">
        <v>4092</v>
      </c>
      <c r="N1486" s="13">
        <v>57</v>
      </c>
      <c r="O1486" s="15"/>
      <c r="P1486" s="6">
        <v>39991.095000000001</v>
      </c>
      <c r="Q1486" s="17" t="s">
        <v>127</v>
      </c>
      <c r="R1486" s="18" t="s">
        <v>5690</v>
      </c>
      <c r="S1486" s="11" t="s">
        <v>5691</v>
      </c>
      <c r="T1486" s="12"/>
      <c r="U1486" s="10" t="str">
        <f>HYPERLINK("https://pbs.twimg.com/profile_images/684857991040901121/QumazZ3l.jpg","View")</f>
        <v>View</v>
      </c>
    </row>
    <row r="1487" spans="1:21" ht="51">
      <c r="A1487" s="6">
        <v>43426.911539351851</v>
      </c>
      <c r="B1487" s="7" t="str">
        <f>HYPERLINK("https://twitter.com/silvia0907","@silvia0907")</f>
        <v>@silvia0907</v>
      </c>
      <c r="C1487" s="8" t="s">
        <v>5692</v>
      </c>
      <c r="D1487" s="9" t="s">
        <v>5693</v>
      </c>
      <c r="E1487" s="10" t="str">
        <f>HYPERLINK("https://twitter.com/silvia0907/status/1065709660840357894","1065709660840357894")</f>
        <v>1065709660840357894</v>
      </c>
      <c r="F1487" s="12"/>
      <c r="G1487" s="12"/>
      <c r="H1487" s="12"/>
      <c r="I1487" s="13">
        <v>5</v>
      </c>
      <c r="J1487" s="13">
        <v>7</v>
      </c>
      <c r="K1487" s="14" t="str">
        <f>HYPERLINK("http://twitter.com","Twitter Web Client")</f>
        <v>Twitter Web Client</v>
      </c>
      <c r="L1487" s="13">
        <v>3588</v>
      </c>
      <c r="M1487" s="13">
        <v>63</v>
      </c>
      <c r="N1487" s="13">
        <v>53</v>
      </c>
      <c r="O1487" s="15"/>
      <c r="P1487" s="6">
        <v>41394.656006944446</v>
      </c>
      <c r="Q1487" s="17" t="s">
        <v>72</v>
      </c>
      <c r="R1487" s="18" t="s">
        <v>5694</v>
      </c>
      <c r="S1487" s="12"/>
      <c r="T1487" s="12"/>
      <c r="U1487" s="10" t="str">
        <f>HYPERLINK("https://pbs.twimg.com/profile_images/967044247273791489/I3V7XbPG.jpg","View")</f>
        <v>View</v>
      </c>
    </row>
    <row r="1488" spans="1:21" ht="20.399999999999999">
      <c r="A1488" s="6">
        <v>43426.911180555559</v>
      </c>
      <c r="B1488" s="7" t="str">
        <f>HYPERLINK("https://twitter.com/Sabana_Niko","@Sabana_Niko")</f>
        <v>@Sabana_Niko</v>
      </c>
      <c r="C1488" s="8" t="s">
        <v>5695</v>
      </c>
      <c r="D1488" s="9" t="s">
        <v>5696</v>
      </c>
      <c r="E1488" s="10" t="str">
        <f>HYPERLINK("https://twitter.com/Sabana_Niko/status/1065709530175205376","1065709530175205376")</f>
        <v>1065709530175205376</v>
      </c>
      <c r="F1488" s="12"/>
      <c r="G1488" s="12"/>
      <c r="H1488" s="12"/>
      <c r="I1488" s="13">
        <v>0</v>
      </c>
      <c r="J1488" s="13">
        <v>0</v>
      </c>
      <c r="K1488" s="14" t="str">
        <f>HYPERLINK("http://twitter.com/download/iphone","Twitter for iPhone")</f>
        <v>Twitter for iPhone</v>
      </c>
      <c r="L1488" s="13">
        <v>82</v>
      </c>
      <c r="M1488" s="13">
        <v>197</v>
      </c>
      <c r="N1488" s="13">
        <v>0</v>
      </c>
      <c r="O1488" s="15"/>
      <c r="P1488" s="6">
        <v>40506.951527777775</v>
      </c>
      <c r="Q1488" s="17" t="s">
        <v>5697</v>
      </c>
      <c r="R1488" s="27" t="s">
        <v>5698</v>
      </c>
      <c r="S1488" s="11" t="s">
        <v>5699</v>
      </c>
      <c r="T1488" s="12"/>
      <c r="U1488" s="10" t="str">
        <f>HYPERLINK("https://pbs.twimg.com/profile_images/836169524386881536/tctZMc-4.jpg","View")</f>
        <v>View</v>
      </c>
    </row>
    <row r="1489" spans="1:21" ht="20.399999999999999">
      <c r="A1489" s="6">
        <v>43426.91028935185</v>
      </c>
      <c r="B1489" s="7" t="str">
        <f>HYPERLINK("https://twitter.com/Lajandadigital","@Lajandadigital")</f>
        <v>@Lajandadigital</v>
      </c>
      <c r="C1489" s="8" t="s">
        <v>5700</v>
      </c>
      <c r="D1489" s="9" t="s">
        <v>2621</v>
      </c>
      <c r="E1489" s="10" t="str">
        <f>HYPERLINK("https://twitter.com/Lajandadigital/status/1065709205372452866","1065709205372452866")</f>
        <v>1065709205372452866</v>
      </c>
      <c r="F1489" s="11" t="s">
        <v>641</v>
      </c>
      <c r="G1489" s="12"/>
      <c r="H1489" s="12"/>
      <c r="I1489" s="13">
        <v>0</v>
      </c>
      <c r="J1489" s="13">
        <v>0</v>
      </c>
      <c r="K1489" s="14" t="str">
        <f>HYPERLINK("http://www.facebook.com/twitter","Facebook")</f>
        <v>Facebook</v>
      </c>
      <c r="L1489" s="13">
        <v>465</v>
      </c>
      <c r="M1489" s="13">
        <v>650</v>
      </c>
      <c r="N1489" s="13">
        <v>12</v>
      </c>
      <c r="O1489" s="15"/>
      <c r="P1489" s="6">
        <v>41943.370081018518</v>
      </c>
      <c r="Q1489" s="12"/>
      <c r="R1489" s="18" t="s">
        <v>5701</v>
      </c>
      <c r="S1489" s="11" t="s">
        <v>5702</v>
      </c>
      <c r="T1489" s="12"/>
      <c r="U1489" s="10" t="str">
        <f>HYPERLINK("https://pbs.twimg.com/profile_images/803722988164182016/05tgwmZ_.jpg","View")</f>
        <v>View</v>
      </c>
    </row>
    <row r="1490" spans="1:21" ht="40.799999999999997">
      <c r="A1490" s="6">
        <v>43426.910173611112</v>
      </c>
      <c r="B1490" s="7" t="str">
        <f>HYPERLINK("https://twitter.com/GrupoCaiman","@GrupoCaiman")</f>
        <v>@GrupoCaiman</v>
      </c>
      <c r="C1490" s="8" t="s">
        <v>413</v>
      </c>
      <c r="D1490" s="9" t="s">
        <v>5703</v>
      </c>
      <c r="E1490" s="10" t="str">
        <f>HYPERLINK("https://twitter.com/GrupoCaiman/status/1065709165555982337","1065709165555982337")</f>
        <v>1065709165555982337</v>
      </c>
      <c r="F1490" s="12"/>
      <c r="G1490" s="12"/>
      <c r="H1490" s="12"/>
      <c r="I1490" s="13">
        <v>0</v>
      </c>
      <c r="J1490" s="13">
        <v>1</v>
      </c>
      <c r="K1490" s="14" t="str">
        <f t="shared" ref="K1490:K1491" si="232">HYPERLINK("http://twitter.com","Twitter Web Client")</f>
        <v>Twitter Web Client</v>
      </c>
      <c r="L1490" s="13">
        <v>767</v>
      </c>
      <c r="M1490" s="13">
        <v>39</v>
      </c>
      <c r="N1490" s="13">
        <v>31</v>
      </c>
      <c r="O1490" s="15"/>
      <c r="P1490" s="6">
        <v>40657.72719907407</v>
      </c>
      <c r="Q1490" s="17" t="s">
        <v>127</v>
      </c>
      <c r="R1490" s="18" t="s">
        <v>417</v>
      </c>
      <c r="S1490" s="11" t="s">
        <v>418</v>
      </c>
      <c r="T1490" s="12"/>
      <c r="U1490" s="10" t="str">
        <f>HYPERLINK("https://pbs.twimg.com/profile_images/1038855415927382016/kUpnFvbL.jpg","View")</f>
        <v>View</v>
      </c>
    </row>
    <row r="1491" spans="1:21" ht="40.799999999999997">
      <c r="A1491" s="6">
        <v>43426.910092592589</v>
      </c>
      <c r="B1491" s="7" t="str">
        <f>HYPERLINK("https://twitter.com/JuanDeUsuario","@JuanDeUsuario")</f>
        <v>@JuanDeUsuario</v>
      </c>
      <c r="C1491" s="8" t="s">
        <v>5704</v>
      </c>
      <c r="D1491" s="9" t="s">
        <v>5705</v>
      </c>
      <c r="E1491" s="10" t="str">
        <f>HYPERLINK("https://twitter.com/JuanDeUsuario/status/1065709134601949185","1065709134601949185")</f>
        <v>1065709134601949185</v>
      </c>
      <c r="F1491" s="12"/>
      <c r="G1491" s="12"/>
      <c r="H1491" s="12"/>
      <c r="I1491" s="13">
        <v>1</v>
      </c>
      <c r="J1491" s="13">
        <v>1</v>
      </c>
      <c r="K1491" s="14" t="str">
        <f t="shared" si="232"/>
        <v>Twitter Web Client</v>
      </c>
      <c r="L1491" s="13">
        <v>167</v>
      </c>
      <c r="M1491" s="13">
        <v>22</v>
      </c>
      <c r="N1491" s="13">
        <v>0</v>
      </c>
      <c r="O1491" s="15"/>
      <c r="P1491" s="6">
        <v>42963.190023148149</v>
      </c>
      <c r="Q1491" s="12"/>
      <c r="R1491" s="18" t="s">
        <v>5706</v>
      </c>
      <c r="S1491" s="12"/>
      <c r="T1491" s="12"/>
      <c r="U1491" s="10" t="str">
        <f>HYPERLINK("https://pbs.twimg.com/profile_images/897656466945040388/JrN2QfV7.jpg","View")</f>
        <v>View</v>
      </c>
    </row>
    <row r="1492" spans="1:21" ht="40.799999999999997">
      <c r="A1492" s="6">
        <v>43426.909942129627</v>
      </c>
      <c r="B1492" s="7" t="str">
        <f>HYPERLINK("https://twitter.com/MinutoDiario","@MinutoDiario")</f>
        <v>@MinutoDiario</v>
      </c>
      <c r="C1492" s="8" t="s">
        <v>5707</v>
      </c>
      <c r="D1492" s="9" t="s">
        <v>5708</v>
      </c>
      <c r="E1492" s="10" t="str">
        <f>HYPERLINK("https://twitter.com/MinutoDiario/status/1065709080977842176","1065709080977842176")</f>
        <v>1065709080977842176</v>
      </c>
      <c r="F1492" s="12"/>
      <c r="G1492" s="11" t="s">
        <v>5709</v>
      </c>
      <c r="H1492" s="12"/>
      <c r="I1492" s="13">
        <v>0</v>
      </c>
      <c r="J1492" s="13">
        <v>0</v>
      </c>
      <c r="K1492" s="14" t="str">
        <f>HYPERLINK("http://twitter.com/download/android","Twitter for Android")</f>
        <v>Twitter for Android</v>
      </c>
      <c r="L1492" s="13">
        <v>90</v>
      </c>
      <c r="M1492" s="13">
        <v>247</v>
      </c>
      <c r="N1492" s="13">
        <v>0</v>
      </c>
      <c r="O1492" s="15"/>
      <c r="P1492" s="6">
        <v>43241.130648148144</v>
      </c>
      <c r="Q1492" s="17" t="s">
        <v>28</v>
      </c>
      <c r="R1492" s="18" t="s">
        <v>5710</v>
      </c>
      <c r="S1492" s="11" t="s">
        <v>5711</v>
      </c>
      <c r="T1492" s="12"/>
      <c r="U1492" s="10" t="str">
        <f>HYPERLINK("https://pbs.twimg.com/profile_images/998371651946348545/iaF45UqL.jpg","View")</f>
        <v>View</v>
      </c>
    </row>
    <row r="1493" spans="1:21" ht="20.399999999999999">
      <c r="A1493" s="6">
        <v>43426.909398148149</v>
      </c>
      <c r="B1493" s="7" t="str">
        <f>HYPERLINK("https://twitter.com/ondabailen","@ondabailen")</f>
        <v>@ondabailen</v>
      </c>
      <c r="C1493" s="8" t="s">
        <v>5712</v>
      </c>
      <c r="D1493" s="9" t="s">
        <v>5713</v>
      </c>
      <c r="E1493" s="10" t="str">
        <f>HYPERLINK("https://twitter.com/ondabailen/status/1065708882075373569","1065708882075373569")</f>
        <v>1065708882075373569</v>
      </c>
      <c r="F1493" s="11" t="s">
        <v>5714</v>
      </c>
      <c r="G1493" s="11" t="s">
        <v>5715</v>
      </c>
      <c r="H1493" s="12"/>
      <c r="I1493" s="13">
        <v>0</v>
      </c>
      <c r="J1493" s="13">
        <v>0</v>
      </c>
      <c r="K1493" s="14" t="str">
        <f>HYPERLINK("http://publicize.wp.com/","WordPress.com")</f>
        <v>WordPress.com</v>
      </c>
      <c r="L1493" s="13">
        <v>24</v>
      </c>
      <c r="M1493" s="13">
        <v>35</v>
      </c>
      <c r="N1493" s="13">
        <v>2</v>
      </c>
      <c r="O1493" s="15"/>
      <c r="P1493" s="6">
        <v>43138.706423611111</v>
      </c>
      <c r="Q1493" s="12"/>
      <c r="R1493" s="19"/>
      <c r="S1493" s="12"/>
      <c r="T1493" s="12"/>
      <c r="U1493" s="10" t="str">
        <f>HYPERLINK("https://pbs.twimg.com/profile_images/961920788319358976/7CWeqOmm.jpg","View")</f>
        <v>View</v>
      </c>
    </row>
    <row r="1494" spans="1:21" ht="40.799999999999997">
      <c r="A1494" s="6">
        <v>43426.909085648149</v>
      </c>
      <c r="B1494" s="7" t="str">
        <f>HYPERLINK("https://twitter.com/El_Intermedio","@El_Intermedio")</f>
        <v>@El_Intermedio</v>
      </c>
      <c r="C1494" s="8" t="s">
        <v>5716</v>
      </c>
      <c r="D1494" s="9" t="s">
        <v>5717</v>
      </c>
      <c r="E1494" s="10" t="str">
        <f>HYPERLINK("https://twitter.com/El_Intermedio/status/1065708769038884864","1065708769038884864")</f>
        <v>1065708769038884864</v>
      </c>
      <c r="F1494" s="11" t="s">
        <v>5718</v>
      </c>
      <c r="G1494" s="11" t="s">
        <v>5719</v>
      </c>
      <c r="H1494" s="12"/>
      <c r="I1494" s="13">
        <v>4</v>
      </c>
      <c r="J1494" s="13">
        <v>8</v>
      </c>
      <c r="K1494" s="14" t="str">
        <f>HYPERLINK("http://snappytv.com","SnappyTV.com")</f>
        <v>SnappyTV.com</v>
      </c>
      <c r="L1494" s="13">
        <v>1009821</v>
      </c>
      <c r="M1494" s="13">
        <v>1771</v>
      </c>
      <c r="N1494" s="13">
        <v>4849</v>
      </c>
      <c r="O1494" s="16" t="s">
        <v>26</v>
      </c>
      <c r="P1494" s="6">
        <v>39692.485879629632</v>
      </c>
      <c r="Q1494" s="17" t="s">
        <v>28</v>
      </c>
      <c r="R1494" s="18" t="s">
        <v>5720</v>
      </c>
      <c r="S1494" s="11" t="s">
        <v>5721</v>
      </c>
      <c r="T1494" s="12"/>
      <c r="U1494" s="10" t="str">
        <f>HYPERLINK("https://pbs.twimg.com/profile_images/1037049026523348992/kW9y-kbu.jpg","View")</f>
        <v>View</v>
      </c>
    </row>
    <row r="1495" spans="1:21" ht="30.6">
      <c r="A1495" s="6">
        <v>43426.908831018518</v>
      </c>
      <c r="B1495" s="7" t="str">
        <f>HYPERLINK("https://twitter.com/prensafresca","@prensafresca")</f>
        <v>@prensafresca</v>
      </c>
      <c r="C1495" s="8" t="s">
        <v>5722</v>
      </c>
      <c r="D1495" s="9" t="s">
        <v>5723</v>
      </c>
      <c r="E1495" s="10" t="str">
        <f>HYPERLINK("https://twitter.com/prensafresca/status/1065708676596621312","1065708676596621312")</f>
        <v>1065708676596621312</v>
      </c>
      <c r="F1495" s="11" t="s">
        <v>5724</v>
      </c>
      <c r="G1495" s="12"/>
      <c r="H1495" s="12"/>
      <c r="I1495" s="13">
        <v>0</v>
      </c>
      <c r="J1495" s="13">
        <v>0</v>
      </c>
      <c r="K1495" s="14" t="str">
        <f>HYPERLINK("http://notAWebYet.com","Tuitulares_v2")</f>
        <v>Tuitulares_v2</v>
      </c>
      <c r="L1495" s="13">
        <v>3928</v>
      </c>
      <c r="M1495" s="13">
        <v>2611</v>
      </c>
      <c r="N1495" s="13">
        <v>85</v>
      </c>
      <c r="O1495" s="15"/>
      <c r="P1495" s="6">
        <v>42414.68813657407</v>
      </c>
      <c r="Q1495" s="12"/>
      <c r="R1495" s="18" t="s">
        <v>5725</v>
      </c>
      <c r="S1495" s="12"/>
      <c r="T1495" s="12"/>
      <c r="U1495" s="10" t="str">
        <f>HYPERLINK("https://pbs.twimg.com/profile_images/712044672676397058/2n9qvNh2.jpg","View")</f>
        <v>View</v>
      </c>
    </row>
    <row r="1496" spans="1:21" ht="40.799999999999997">
      <c r="A1496" s="6">
        <v>43426.908368055556</v>
      </c>
      <c r="B1496" s="7" t="str">
        <f>HYPERLINK("https://twitter.com/Andguel","@Andguel")</f>
        <v>@Andguel</v>
      </c>
      <c r="C1496" s="8" t="s">
        <v>5726</v>
      </c>
      <c r="D1496" s="9" t="s">
        <v>5727</v>
      </c>
      <c r="E1496" s="10" t="str">
        <f>HYPERLINK("https://twitter.com/Andguel/status/1065708510762205185","1065708510762205185")</f>
        <v>1065708510762205185</v>
      </c>
      <c r="F1496" s="12"/>
      <c r="G1496" s="11" t="s">
        <v>5728</v>
      </c>
      <c r="H1496" s="12"/>
      <c r="I1496" s="13">
        <v>1</v>
      </c>
      <c r="J1496" s="13">
        <v>1</v>
      </c>
      <c r="K1496" s="14" t="str">
        <f>HYPERLINK("http://twitter.com","Twitter Web Client")</f>
        <v>Twitter Web Client</v>
      </c>
      <c r="L1496" s="13">
        <v>1991</v>
      </c>
      <c r="M1496" s="13">
        <v>951</v>
      </c>
      <c r="N1496" s="13">
        <v>3</v>
      </c>
      <c r="O1496" s="15"/>
      <c r="P1496" s="6">
        <v>40683.948437500003</v>
      </c>
      <c r="Q1496" s="17" t="s">
        <v>5729</v>
      </c>
      <c r="R1496" s="18" t="s">
        <v>5730</v>
      </c>
      <c r="S1496" s="12"/>
      <c r="T1496" s="12"/>
      <c r="U1496" s="10" t="str">
        <f>HYPERLINK("https://pbs.twimg.com/profile_images/1005449820398587906/N0ILH58F.jpg","View")</f>
        <v>View</v>
      </c>
    </row>
    <row r="1497" spans="1:21" ht="51">
      <c r="A1497" s="6">
        <v>43426.907557870371</v>
      </c>
      <c r="B1497" s="7" t="str">
        <f>HYPERLINK("https://twitter.com/frarumo","@frarumo")</f>
        <v>@frarumo</v>
      </c>
      <c r="C1497" s="8" t="s">
        <v>5731</v>
      </c>
      <c r="D1497" s="9" t="s">
        <v>5732</v>
      </c>
      <c r="E1497" s="10" t="str">
        <f>HYPERLINK("https://twitter.com/frarumo/status/1065708216707891201","1065708216707891201")</f>
        <v>1065708216707891201</v>
      </c>
      <c r="F1497" s="12"/>
      <c r="G1497" s="12"/>
      <c r="H1497" s="12"/>
      <c r="I1497" s="13">
        <v>0</v>
      </c>
      <c r="J1497" s="13">
        <v>1</v>
      </c>
      <c r="K1497" s="14" t="str">
        <f>HYPERLINK("http://twitter.com/download/iphone","Twitter for iPhone")</f>
        <v>Twitter for iPhone</v>
      </c>
      <c r="L1497" s="13">
        <v>634</v>
      </c>
      <c r="M1497" s="13">
        <v>356</v>
      </c>
      <c r="N1497" s="13">
        <v>35</v>
      </c>
      <c r="O1497" s="15"/>
      <c r="P1497" s="6">
        <v>40502.293437500004</v>
      </c>
      <c r="Q1497" s="17" t="s">
        <v>5733</v>
      </c>
      <c r="R1497" s="18" t="s">
        <v>5734</v>
      </c>
      <c r="S1497" s="11" t="s">
        <v>5735</v>
      </c>
      <c r="T1497" s="12"/>
      <c r="U1497" s="10" t="str">
        <f>HYPERLINK("https://pbs.twimg.com/profile_images/1053881059945955328/2ku9fnSG.jpg","View")</f>
        <v>View</v>
      </c>
    </row>
    <row r="1498" spans="1:21" ht="20.399999999999999">
      <c r="A1498" s="6">
        <v>43426.907453703709</v>
      </c>
      <c r="B1498" s="7" t="str">
        <f>HYPERLINK("https://twitter.com/CaraotaDigital","@CaraotaDigital")</f>
        <v>@CaraotaDigital</v>
      </c>
      <c r="C1498" s="8" t="s">
        <v>445</v>
      </c>
      <c r="D1498" s="9" t="s">
        <v>5736</v>
      </c>
      <c r="E1498" s="10" t="str">
        <f>HYPERLINK("https://twitter.com/CaraotaDigital/status/1065708178577473537","1065708178577473537")</f>
        <v>1065708178577473537</v>
      </c>
      <c r="F1498" s="11" t="s">
        <v>447</v>
      </c>
      <c r="G1498" s="12"/>
      <c r="H1498" s="12"/>
      <c r="I1498" s="13">
        <v>0</v>
      </c>
      <c r="J1498" s="13">
        <v>0</v>
      </c>
      <c r="K1498" s="14" t="str">
        <f>HYPERLINK("https://about.twitter.com/products/tweetdeck","TweetDeck")</f>
        <v>TweetDeck</v>
      </c>
      <c r="L1498" s="13">
        <v>1115993</v>
      </c>
      <c r="M1498" s="13">
        <v>409</v>
      </c>
      <c r="N1498" s="13">
        <v>2984</v>
      </c>
      <c r="O1498" s="16" t="s">
        <v>26</v>
      </c>
      <c r="P1498" s="6">
        <v>40386.147511574076</v>
      </c>
      <c r="Q1498" s="17" t="s">
        <v>448</v>
      </c>
      <c r="R1498" s="18" t="s">
        <v>449</v>
      </c>
      <c r="S1498" s="11" t="s">
        <v>451</v>
      </c>
      <c r="T1498" s="12"/>
      <c r="U1498" s="10" t="str">
        <f>HYPERLINK("https://pbs.twimg.com/profile_images/1046543482054217729/GUKGkwV4.jpg","View")</f>
        <v>View</v>
      </c>
    </row>
    <row r="1499" spans="1:21" ht="30.6">
      <c r="A1499" s="6">
        <v>43426.906053240746</v>
      </c>
      <c r="B1499" s="7" t="str">
        <f>HYPERLINK("https://twitter.com/texhewson","@texhewson")</f>
        <v>@texhewson</v>
      </c>
      <c r="C1499" s="8" t="s">
        <v>5737</v>
      </c>
      <c r="D1499" s="9" t="s">
        <v>640</v>
      </c>
      <c r="E1499" s="10" t="str">
        <f>HYPERLINK("https://twitter.com/texhewson/status/1065707672559861760","1065707672559861760")</f>
        <v>1065707672559861760</v>
      </c>
      <c r="F1499" s="11" t="s">
        <v>641</v>
      </c>
      <c r="G1499" s="12"/>
      <c r="H1499" s="12"/>
      <c r="I1499" s="13">
        <v>0</v>
      </c>
      <c r="J1499" s="13">
        <v>0</v>
      </c>
      <c r="K1499" s="14" t="str">
        <f>HYPERLINK("http://twitter.com/download/android","Twitter for Android")</f>
        <v>Twitter for Android</v>
      </c>
      <c r="L1499" s="13">
        <v>215</v>
      </c>
      <c r="M1499" s="13">
        <v>319</v>
      </c>
      <c r="N1499" s="13">
        <v>2</v>
      </c>
      <c r="O1499" s="15"/>
      <c r="P1499" s="6">
        <v>40087.386319444442</v>
      </c>
      <c r="Q1499" s="17" t="s">
        <v>5738</v>
      </c>
      <c r="R1499" s="18" t="s">
        <v>5739</v>
      </c>
      <c r="S1499" s="11" t="s">
        <v>5740</v>
      </c>
      <c r="T1499" s="12"/>
      <c r="U1499" s="10" t="str">
        <f>HYPERLINK("https://pbs.twimg.com/profile_images/808633617459138560/_cGxdEkp.jpg","View")</f>
        <v>View</v>
      </c>
    </row>
    <row r="1500" spans="1:21" ht="40.799999999999997">
      <c r="A1500" s="6">
        <v>43426.905902777777</v>
      </c>
      <c r="B1500" s="7" t="str">
        <f>HYPERLINK("https://twitter.com/JCMayabeque","@JCMayabeque")</f>
        <v>@JCMayabeque</v>
      </c>
      <c r="C1500" s="8" t="s">
        <v>5741</v>
      </c>
      <c r="D1500" s="9" t="s">
        <v>5055</v>
      </c>
      <c r="E1500" s="10" t="str">
        <f>HYPERLINK("https://twitter.com/JCMayabeque/status/1065707617513816065","1065707617513816065")</f>
        <v>1065707617513816065</v>
      </c>
      <c r="F1500" s="11" t="s">
        <v>4378</v>
      </c>
      <c r="G1500" s="12"/>
      <c r="H1500" s="12"/>
      <c r="I1500" s="13">
        <v>0</v>
      </c>
      <c r="J1500" s="13">
        <v>0</v>
      </c>
      <c r="K1500" s="14" t="str">
        <f>HYPERLINK("http://twitter.com","Twitter Web Client")</f>
        <v>Twitter Web Client</v>
      </c>
      <c r="L1500" s="13">
        <v>501</v>
      </c>
      <c r="M1500" s="13">
        <v>657</v>
      </c>
      <c r="N1500" s="13">
        <v>6</v>
      </c>
      <c r="O1500" s="15"/>
      <c r="P1500" s="6">
        <v>42621.623692129629</v>
      </c>
      <c r="Q1500" s="17" t="s">
        <v>5742</v>
      </c>
      <c r="R1500" s="18" t="s">
        <v>5743</v>
      </c>
      <c r="S1500" s="11" t="s">
        <v>5744</v>
      </c>
      <c r="T1500" s="12"/>
      <c r="U1500" s="10" t="str">
        <f>HYPERLINK("https://pbs.twimg.com/profile_images/1029784977502883841/GReGTQdE.jpg","View")</f>
        <v>View</v>
      </c>
    </row>
    <row r="1501" spans="1:21" ht="40.799999999999997">
      <c r="A1501" s="6">
        <v>43426.90488425926</v>
      </c>
      <c r="B1501" s="7" t="str">
        <f>HYPERLINK("https://twitter.com/El_Intermedio","@El_Intermedio")</f>
        <v>@El_Intermedio</v>
      </c>
      <c r="C1501" s="8" t="s">
        <v>5716</v>
      </c>
      <c r="D1501" s="9" t="s">
        <v>5745</v>
      </c>
      <c r="E1501" s="10" t="str">
        <f>HYPERLINK("https://twitter.com/El_Intermedio/status/1065707249111158784","1065707249111158784")</f>
        <v>1065707249111158784</v>
      </c>
      <c r="F1501" s="11" t="s">
        <v>5718</v>
      </c>
      <c r="G1501" s="11" t="s">
        <v>5746</v>
      </c>
      <c r="H1501" s="12"/>
      <c r="I1501" s="13">
        <v>3</v>
      </c>
      <c r="J1501" s="13">
        <v>6</v>
      </c>
      <c r="K1501" s="14" t="str">
        <f>HYPERLINK("http://snappytv.com","SnappyTV.com")</f>
        <v>SnappyTV.com</v>
      </c>
      <c r="L1501" s="13">
        <v>1009821</v>
      </c>
      <c r="M1501" s="13">
        <v>1771</v>
      </c>
      <c r="N1501" s="13">
        <v>4849</v>
      </c>
      <c r="O1501" s="16" t="s">
        <v>26</v>
      </c>
      <c r="P1501" s="6">
        <v>39692.485879629632</v>
      </c>
      <c r="Q1501" s="17" t="s">
        <v>28</v>
      </c>
      <c r="R1501" s="18" t="s">
        <v>5720</v>
      </c>
      <c r="S1501" s="11" t="s">
        <v>5721</v>
      </c>
      <c r="T1501" s="12"/>
      <c r="U1501" s="10" t="str">
        <f>HYPERLINK("https://pbs.twimg.com/profile_images/1037049026523348992/kW9y-kbu.jpg","View")</f>
        <v>View</v>
      </c>
    </row>
    <row r="1502" spans="1:21" ht="40.799999999999997">
      <c r="A1502" s="6">
        <v>43426.904687499999</v>
      </c>
      <c r="B1502" s="7" t="str">
        <f>HYPERLINK("https://twitter.com/santosjorgeh","@santosjorgeh")</f>
        <v>@santosjorgeh</v>
      </c>
      <c r="C1502" s="8" t="s">
        <v>5747</v>
      </c>
      <c r="D1502" s="9" t="s">
        <v>5748</v>
      </c>
      <c r="E1502" s="10" t="str">
        <f>HYPERLINK("https://twitter.com/santosjorgeh/status/1065707177594298368","1065707177594298368")</f>
        <v>1065707177594298368</v>
      </c>
      <c r="F1502" s="12"/>
      <c r="G1502" s="11" t="s">
        <v>5749</v>
      </c>
      <c r="H1502" s="12"/>
      <c r="I1502" s="13">
        <v>18</v>
      </c>
      <c r="J1502" s="13">
        <v>22</v>
      </c>
      <c r="K1502" s="14" t="str">
        <f>HYPERLINK("http://twitter.com","Twitter Web Client")</f>
        <v>Twitter Web Client</v>
      </c>
      <c r="L1502" s="13">
        <v>42706</v>
      </c>
      <c r="M1502" s="13">
        <v>789</v>
      </c>
      <c r="N1502" s="13">
        <v>380</v>
      </c>
      <c r="O1502" s="15"/>
      <c r="P1502" s="6">
        <v>40491.992337962962</v>
      </c>
      <c r="Q1502" s="17" t="s">
        <v>36</v>
      </c>
      <c r="R1502" s="18" t="s">
        <v>5750</v>
      </c>
      <c r="S1502" s="12"/>
      <c r="T1502" s="12"/>
      <c r="U1502" s="10" t="str">
        <f>HYPERLINK("https://pbs.twimg.com/profile_images/1043266736261357569/y-9rGwq1.jpg","View")</f>
        <v>View</v>
      </c>
    </row>
    <row r="1503" spans="1:21" ht="40.799999999999997">
      <c r="A1503" s="6">
        <v>43426.903113425928</v>
      </c>
      <c r="B1503" s="7" t="str">
        <f>HYPERLINK("https://twitter.com/SergioNonito","@SergioNonito")</f>
        <v>@SergioNonito</v>
      </c>
      <c r="C1503" s="8" t="s">
        <v>5751</v>
      </c>
      <c r="D1503" s="9" t="s">
        <v>5752</v>
      </c>
      <c r="E1503" s="10" t="str">
        <f>HYPERLINK("https://twitter.com/SergioNonito/status/1065706608070705154","1065706608070705154")</f>
        <v>1065706608070705154</v>
      </c>
      <c r="F1503" s="12"/>
      <c r="G1503" s="12"/>
      <c r="H1503" s="12"/>
      <c r="I1503" s="13">
        <v>0</v>
      </c>
      <c r="J1503" s="13">
        <v>0</v>
      </c>
      <c r="K1503" s="14" t="str">
        <f>HYPERLINK("http://twitter.com/download/android","Twitter for Android")</f>
        <v>Twitter for Android</v>
      </c>
      <c r="L1503" s="13">
        <v>13</v>
      </c>
      <c r="M1503" s="13">
        <v>27</v>
      </c>
      <c r="N1503" s="13">
        <v>0</v>
      </c>
      <c r="O1503" s="15"/>
      <c r="P1503" s="6">
        <v>42459.017847222218</v>
      </c>
      <c r="Q1503" s="12"/>
      <c r="R1503" s="19"/>
      <c r="S1503" s="12"/>
      <c r="T1503" s="12"/>
      <c r="U1503" s="10" t="str">
        <f>HYPERLINK("https://pbs.twimg.com/profile_images/1003229808246054912/7HOgZW2L.jpg","View")</f>
        <v>View</v>
      </c>
    </row>
    <row r="1504" spans="1:21" ht="40.799999999999997">
      <c r="A1504" s="6">
        <v>43426.902372685188</v>
      </c>
      <c r="B1504" s="7" t="str">
        <f>HYPERLINK("https://twitter.com/falcarazfer","@falcarazfer")</f>
        <v>@falcarazfer</v>
      </c>
      <c r="C1504" s="8" t="s">
        <v>5393</v>
      </c>
      <c r="D1504" s="9" t="s">
        <v>5753</v>
      </c>
      <c r="E1504" s="10" t="str">
        <f>HYPERLINK("https://twitter.com/falcarazfer/status/1065706338376982534","1065706338376982534")</f>
        <v>1065706338376982534</v>
      </c>
      <c r="F1504" s="11" t="s">
        <v>5754</v>
      </c>
      <c r="G1504" s="12"/>
      <c r="H1504" s="12"/>
      <c r="I1504" s="13">
        <v>0</v>
      </c>
      <c r="J1504" s="13">
        <v>0</v>
      </c>
      <c r="K1504" s="14" t="str">
        <f t="shared" ref="K1504:K1505" si="233">HYPERLINK("http://twitter.com","Twitter Web Client")</f>
        <v>Twitter Web Client</v>
      </c>
      <c r="L1504" s="13">
        <v>3519</v>
      </c>
      <c r="M1504" s="13">
        <v>3474</v>
      </c>
      <c r="N1504" s="13">
        <v>52</v>
      </c>
      <c r="O1504" s="15"/>
      <c r="P1504" s="6">
        <v>41687.861030092594</v>
      </c>
      <c r="Q1504" s="12"/>
      <c r="R1504" s="18" t="s">
        <v>5396</v>
      </c>
      <c r="S1504" s="12"/>
      <c r="T1504" s="12"/>
      <c r="U1504" s="10" t="str">
        <f>HYPERLINK("https://pbs.twimg.com/profile_images/459014754648879105/Dt4Ki-pT.png","View")</f>
        <v>View</v>
      </c>
    </row>
    <row r="1505" spans="1:21" ht="20.399999999999999">
      <c r="A1505" s="6">
        <v>43426.901319444441</v>
      </c>
      <c r="B1505" s="7" t="str">
        <f>HYPERLINK("https://twitter.com/TRASLAMATA","@TRASLAMATA")</f>
        <v>@TRASLAMATA</v>
      </c>
      <c r="C1505" s="8" t="s">
        <v>5756</v>
      </c>
      <c r="D1505" s="9" t="s">
        <v>2981</v>
      </c>
      <c r="E1505" s="10" t="str">
        <f>HYPERLINK("https://twitter.com/TRASLAMATA/status/1065705954757541889","1065705954757541889")</f>
        <v>1065705954757541889</v>
      </c>
      <c r="F1505" s="11" t="s">
        <v>5757</v>
      </c>
      <c r="G1505" s="12"/>
      <c r="H1505" s="12"/>
      <c r="I1505" s="13">
        <v>0</v>
      </c>
      <c r="J1505" s="13">
        <v>1</v>
      </c>
      <c r="K1505" s="14" t="str">
        <f t="shared" si="233"/>
        <v>Twitter Web Client</v>
      </c>
      <c r="L1505" s="13">
        <v>586</v>
      </c>
      <c r="M1505" s="13">
        <v>994</v>
      </c>
      <c r="N1505" s="13">
        <v>0</v>
      </c>
      <c r="O1505" s="15"/>
      <c r="P1505" s="6">
        <v>42839.663587962961</v>
      </c>
      <c r="Q1505" s="17" t="s">
        <v>5758</v>
      </c>
      <c r="R1505" s="19"/>
      <c r="S1505" s="12"/>
      <c r="T1505" s="12"/>
      <c r="U1505" s="10" t="str">
        <f>HYPERLINK("https://pbs.twimg.com/profile_images/947480886450286592/ZY31rzPp.jpg","View")</f>
        <v>View</v>
      </c>
    </row>
    <row r="1506" spans="1:21" ht="20.399999999999999">
      <c r="A1506" s="6">
        <v>43426.900949074072</v>
      </c>
      <c r="B1506" s="7" t="str">
        <f>HYPERLINK("https://twitter.com/cuin1425","@cuin1425")</f>
        <v>@cuin1425</v>
      </c>
      <c r="C1506" s="8" t="s">
        <v>1840</v>
      </c>
      <c r="D1506" s="9" t="s">
        <v>5759</v>
      </c>
      <c r="E1506" s="10" t="str">
        <f>HYPERLINK("https://twitter.com/cuin1425/status/1065705821827407872","1065705821827407872")</f>
        <v>1065705821827407872</v>
      </c>
      <c r="F1506" s="11" t="s">
        <v>5760</v>
      </c>
      <c r="G1506" s="12"/>
      <c r="H1506" s="12"/>
      <c r="I1506" s="13">
        <v>1</v>
      </c>
      <c r="J1506" s="13">
        <v>1</v>
      </c>
      <c r="K1506" s="14" t="str">
        <f t="shared" ref="K1506:K1507" si="234">HYPERLINK("http://www.facebook.com/twitter","Facebook")</f>
        <v>Facebook</v>
      </c>
      <c r="L1506" s="13">
        <v>579</v>
      </c>
      <c r="M1506" s="13">
        <v>977</v>
      </c>
      <c r="N1506" s="13">
        <v>13</v>
      </c>
      <c r="O1506" s="15"/>
      <c r="P1506" s="6">
        <v>40274.437928240739</v>
      </c>
      <c r="Q1506" s="17" t="s">
        <v>1842</v>
      </c>
      <c r="R1506" s="18" t="s">
        <v>1843</v>
      </c>
      <c r="S1506" s="12"/>
      <c r="T1506" s="12"/>
      <c r="U1506" s="10" t="str">
        <f>HYPERLINK("https://pbs.twimg.com/profile_images/820055555305832448/qbgSwEuX.jpg","View")</f>
        <v>View</v>
      </c>
    </row>
    <row r="1507" spans="1:21" ht="40.799999999999997">
      <c r="A1507" s="6">
        <v>43426.90079861111</v>
      </c>
      <c r="B1507" s="7" t="str">
        <f>HYPERLINK("https://twitter.com/EstoesVallekas","@EstoesVallekas")</f>
        <v>@EstoesVallekas</v>
      </c>
      <c r="C1507" s="8" t="s">
        <v>5761</v>
      </c>
      <c r="D1507" s="9" t="s">
        <v>5762</v>
      </c>
      <c r="E1507" s="10" t="str">
        <f>HYPERLINK("https://twitter.com/EstoesVallekas/status/1065705769272774657","1065705769272774657")</f>
        <v>1065705769272774657</v>
      </c>
      <c r="F1507" s="11" t="s">
        <v>5763</v>
      </c>
      <c r="G1507" s="12"/>
      <c r="H1507" s="12"/>
      <c r="I1507" s="13">
        <v>0</v>
      </c>
      <c r="J1507" s="13">
        <v>0</v>
      </c>
      <c r="K1507" s="14" t="str">
        <f t="shared" si="234"/>
        <v>Facebook</v>
      </c>
      <c r="L1507" s="13">
        <v>35</v>
      </c>
      <c r="M1507" s="13">
        <v>112</v>
      </c>
      <c r="N1507" s="13">
        <v>0</v>
      </c>
      <c r="O1507" s="15"/>
      <c r="P1507" s="6">
        <v>43390.731967592597</v>
      </c>
      <c r="Q1507" s="17" t="s">
        <v>5764</v>
      </c>
      <c r="R1507" s="19"/>
      <c r="S1507" s="11" t="s">
        <v>5765</v>
      </c>
      <c r="T1507" s="12"/>
      <c r="U1507" s="10" t="str">
        <f>HYPERLINK("https://pbs.twimg.com/profile_images/1056520613676883974/01_Xqg6T.jpg","View")</f>
        <v>View</v>
      </c>
    </row>
    <row r="1508" spans="1:21" ht="51">
      <c r="A1508" s="6">
        <v>43426.900243055556</v>
      </c>
      <c r="B1508" s="7" t="str">
        <f>HYPERLINK("https://twitter.com/PFyV","@PFyV")</f>
        <v>@PFyV</v>
      </c>
      <c r="C1508" s="8" t="s">
        <v>3819</v>
      </c>
      <c r="D1508" s="9" t="s">
        <v>5766</v>
      </c>
      <c r="E1508" s="10" t="str">
        <f>HYPERLINK("https://twitter.com/PFyV/status/1065705567275139075","1065705567275139075")</f>
        <v>1065705567275139075</v>
      </c>
      <c r="F1508" s="12"/>
      <c r="G1508" s="12"/>
      <c r="H1508" s="12"/>
      <c r="I1508" s="13">
        <v>0</v>
      </c>
      <c r="J1508" s="13">
        <v>2</v>
      </c>
      <c r="K1508" s="14" t="str">
        <f>HYPERLINK("http://twitter.com","Twitter Web Client")</f>
        <v>Twitter Web Client</v>
      </c>
      <c r="L1508" s="13">
        <v>1271</v>
      </c>
      <c r="M1508" s="13">
        <v>366</v>
      </c>
      <c r="N1508" s="13">
        <v>31</v>
      </c>
      <c r="O1508" s="15"/>
      <c r="P1508" s="6">
        <v>41291.545011574075</v>
      </c>
      <c r="Q1508" s="17" t="s">
        <v>28</v>
      </c>
      <c r="R1508" s="18" t="s">
        <v>3822</v>
      </c>
      <c r="S1508" s="11" t="s">
        <v>3823</v>
      </c>
      <c r="T1508" s="12"/>
      <c r="U1508" s="10" t="str">
        <f>HYPERLINK("https://pbs.twimg.com/profile_images/3120372834/d1b2ff0daf8ca48bf1442622e28d1250.jpeg","View")</f>
        <v>View</v>
      </c>
    </row>
    <row r="1509" spans="1:21" ht="30.6">
      <c r="A1509" s="6">
        <v>43426.899780092594</v>
      </c>
      <c r="B1509" s="7" t="str">
        <f>HYPERLINK("https://twitter.com/marlowphilippe","@marlowphilippe")</f>
        <v>@marlowphilippe</v>
      </c>
      <c r="C1509" s="8" t="s">
        <v>5767</v>
      </c>
      <c r="D1509" s="9" t="s">
        <v>1937</v>
      </c>
      <c r="E1509" s="10" t="str">
        <f>HYPERLINK("https://twitter.com/marlowphilippe/status/1065705400555773956","1065705400555773956")</f>
        <v>1065705400555773956</v>
      </c>
      <c r="F1509" s="11" t="s">
        <v>5768</v>
      </c>
      <c r="G1509" s="12"/>
      <c r="H1509" s="12"/>
      <c r="I1509" s="13">
        <v>0</v>
      </c>
      <c r="J1509" s="13">
        <v>0</v>
      </c>
      <c r="K1509" s="14" t="str">
        <f>HYPERLINK("http://twitter.com/download/android","Twitter for Android")</f>
        <v>Twitter for Android</v>
      </c>
      <c r="L1509" s="13">
        <v>974</v>
      </c>
      <c r="M1509" s="13">
        <v>945</v>
      </c>
      <c r="N1509" s="13">
        <v>19</v>
      </c>
      <c r="O1509" s="15"/>
      <c r="P1509" s="6">
        <v>41292.842662037037</v>
      </c>
      <c r="Q1509" s="12"/>
      <c r="R1509" s="18" t="s">
        <v>5769</v>
      </c>
      <c r="S1509" s="12"/>
      <c r="T1509" s="12"/>
      <c r="U1509" s="10" t="str">
        <f>HYPERLINK("https://pbs.twimg.com/profile_images/700726760388689921/i-14plLL.jpg","View")</f>
        <v>View</v>
      </c>
    </row>
    <row r="1510" spans="1:21" ht="40.799999999999997">
      <c r="A1510" s="6">
        <v>43426.898657407408</v>
      </c>
      <c r="B1510" s="7" t="str">
        <f>HYPERLINK("https://twitter.com/francheta62","@francheta62")</f>
        <v>@francheta62</v>
      </c>
      <c r="C1510" s="8" t="s">
        <v>5770</v>
      </c>
      <c r="D1510" s="9" t="s">
        <v>2981</v>
      </c>
      <c r="E1510" s="10" t="str">
        <f>HYPERLINK("https://twitter.com/francheta62/status/1065704991019753472","1065704991019753472")</f>
        <v>1065704991019753472</v>
      </c>
      <c r="F1510" s="11" t="s">
        <v>5771</v>
      </c>
      <c r="G1510" s="12"/>
      <c r="H1510" s="12"/>
      <c r="I1510" s="13">
        <v>0</v>
      </c>
      <c r="J1510" s="13">
        <v>0</v>
      </c>
      <c r="K1510" s="14" t="str">
        <f>HYPERLINK("http://twitter.com","Twitter Web Client")</f>
        <v>Twitter Web Client</v>
      </c>
      <c r="L1510" s="13">
        <v>916</v>
      </c>
      <c r="M1510" s="13">
        <v>842</v>
      </c>
      <c r="N1510" s="13">
        <v>14</v>
      </c>
      <c r="O1510" s="15"/>
      <c r="P1510" s="6">
        <v>40730.79011574074</v>
      </c>
      <c r="Q1510" s="12"/>
      <c r="R1510" s="18" t="s">
        <v>5772</v>
      </c>
      <c r="S1510" s="12"/>
      <c r="T1510" s="12"/>
      <c r="U1510" s="10" t="str">
        <f>HYPERLINK("https://pbs.twimg.com/profile_images/956870179086053376/ncafOkqL.jpg","View")</f>
        <v>View</v>
      </c>
    </row>
    <row r="1511" spans="1:21" ht="20.399999999999999">
      <c r="A1511" s="6">
        <v>43426.898634259254</v>
      </c>
      <c r="B1511" s="7" t="str">
        <f>HYPERLINK("https://twitter.com/Moncloa","@Moncloa")</f>
        <v>@Moncloa</v>
      </c>
      <c r="C1511" s="8" t="s">
        <v>1487</v>
      </c>
      <c r="D1511" s="9" t="s">
        <v>5773</v>
      </c>
      <c r="E1511" s="10" t="str">
        <f>HYPERLINK("https://twitter.com/Moncloa/status/1065704981280354304","1065704981280354304")</f>
        <v>1065704981280354304</v>
      </c>
      <c r="F1511" s="11" t="s">
        <v>5774</v>
      </c>
      <c r="G1511" s="12"/>
      <c r="H1511" s="12"/>
      <c r="I1511" s="13">
        <v>0</v>
      </c>
      <c r="J1511" s="13">
        <v>0</v>
      </c>
      <c r="K1511" s="14" t="str">
        <f>HYPERLINK("http://www.gkopu.com/books","MicroContent")</f>
        <v>MicroContent</v>
      </c>
      <c r="L1511" s="13">
        <v>9324</v>
      </c>
      <c r="M1511" s="13">
        <v>1</v>
      </c>
      <c r="N1511" s="13">
        <v>42</v>
      </c>
      <c r="O1511" s="15"/>
      <c r="P1511" s="6">
        <v>40723.496319444443</v>
      </c>
      <c r="Q1511" s="17" t="s">
        <v>28</v>
      </c>
      <c r="R1511" s="18" t="s">
        <v>1490</v>
      </c>
      <c r="S1511" s="12"/>
      <c r="T1511" s="12"/>
      <c r="U1511" s="10" t="str">
        <f>HYPERLINK("https://pbs.twimg.com/profile_images/2272310074/v0xjmozqhpv90d675qs9.jpeg","View")</f>
        <v>View</v>
      </c>
    </row>
    <row r="1512" spans="1:21" ht="51">
      <c r="A1512" s="6">
        <v>43426.897546296299</v>
      </c>
      <c r="B1512" s="7" t="str">
        <f>HYPERLINK("https://twitter.com/temple_hispania","@temple_hispania")</f>
        <v>@temple_hispania</v>
      </c>
      <c r="C1512" s="8" t="s">
        <v>5775</v>
      </c>
      <c r="D1512" s="9" t="s">
        <v>5776</v>
      </c>
      <c r="E1512" s="10" t="str">
        <f>HYPERLINK("https://twitter.com/temple_hispania/status/1065704587594792960","1065704587594792960")</f>
        <v>1065704587594792960</v>
      </c>
      <c r="F1512" s="12"/>
      <c r="G1512" s="11" t="s">
        <v>5777</v>
      </c>
      <c r="H1512" s="12"/>
      <c r="I1512" s="13">
        <v>60</v>
      </c>
      <c r="J1512" s="13">
        <v>59</v>
      </c>
      <c r="K1512" s="14" t="str">
        <f t="shared" ref="K1512:K1513" si="235">HYPERLINK("http://twitter.com/download/android","Twitter for Android")</f>
        <v>Twitter for Android</v>
      </c>
      <c r="L1512" s="13">
        <v>894</v>
      </c>
      <c r="M1512" s="13">
        <v>1096</v>
      </c>
      <c r="N1512" s="13">
        <v>2</v>
      </c>
      <c r="O1512" s="15"/>
      <c r="P1512" s="6">
        <v>43358.491712962961</v>
      </c>
      <c r="Q1512" s="17" t="s">
        <v>5778</v>
      </c>
      <c r="R1512" s="18" t="s">
        <v>5779</v>
      </c>
      <c r="S1512" s="12"/>
      <c r="T1512" s="12"/>
      <c r="U1512" s="10" t="str">
        <f>HYPERLINK("https://pbs.twimg.com/profile_images/1040900925127368704/7EJpXhpU.jpg","View")</f>
        <v>View</v>
      </c>
    </row>
    <row r="1513" spans="1:21" ht="30.6">
      <c r="A1513" s="6">
        <v>43426.896296296298</v>
      </c>
      <c r="B1513" s="7" t="str">
        <f>HYPERLINK("https://twitter.com/LuisAneiros","@LuisAneiros")</f>
        <v>@LuisAneiros</v>
      </c>
      <c r="C1513" s="8" t="s">
        <v>5780</v>
      </c>
      <c r="D1513" s="9" t="s">
        <v>1775</v>
      </c>
      <c r="E1513" s="10" t="str">
        <f>HYPERLINK("https://twitter.com/LuisAneiros/status/1065704134316306432","1065704134316306432")</f>
        <v>1065704134316306432</v>
      </c>
      <c r="F1513" s="11" t="s">
        <v>1776</v>
      </c>
      <c r="G1513" s="12"/>
      <c r="H1513" s="12"/>
      <c r="I1513" s="13">
        <v>3</v>
      </c>
      <c r="J1513" s="13">
        <v>1</v>
      </c>
      <c r="K1513" s="14" t="str">
        <f t="shared" si="235"/>
        <v>Twitter for Android</v>
      </c>
      <c r="L1513" s="13">
        <v>1420</v>
      </c>
      <c r="M1513" s="13">
        <v>2415</v>
      </c>
      <c r="N1513" s="13">
        <v>11</v>
      </c>
      <c r="O1513" s="15"/>
      <c r="P1513" s="6">
        <v>42552.533449074079</v>
      </c>
      <c r="Q1513" s="17" t="s">
        <v>283</v>
      </c>
      <c r="R1513" s="18" t="s">
        <v>5781</v>
      </c>
      <c r="S1513" s="11" t="s">
        <v>5782</v>
      </c>
      <c r="T1513" s="12"/>
      <c r="U1513" s="10" t="str">
        <f>HYPERLINK("https://pbs.twimg.com/profile_images/915336054290477058/yg1fhMtQ.jpg","View")</f>
        <v>View</v>
      </c>
    </row>
    <row r="1514" spans="1:21" ht="40.799999999999997">
      <c r="A1514" s="6">
        <v>43426.895833333328</v>
      </c>
      <c r="B1514" s="7" t="str">
        <f>HYPERLINK("https://twitter.com/notimerica","@notimerica")</f>
        <v>@notimerica</v>
      </c>
      <c r="C1514" s="8" t="s">
        <v>2745</v>
      </c>
      <c r="D1514" s="9" t="s">
        <v>5783</v>
      </c>
      <c r="E1514" s="10" t="str">
        <f>HYPERLINK("https://twitter.com/notimerica/status/1065703967743721472","1065703967743721472")</f>
        <v>1065703967743721472</v>
      </c>
      <c r="F1514" s="11" t="s">
        <v>5784</v>
      </c>
      <c r="G1514" s="12"/>
      <c r="H1514" s="12"/>
      <c r="I1514" s="13">
        <v>0</v>
      </c>
      <c r="J1514" s="13">
        <v>0</v>
      </c>
      <c r="K1514" s="14" t="str">
        <f>HYPERLINK("https://about.twitter.com/products/tweetdeck","TweetDeck")</f>
        <v>TweetDeck</v>
      </c>
      <c r="L1514" s="13">
        <v>10821</v>
      </c>
      <c r="M1514" s="13">
        <v>920</v>
      </c>
      <c r="N1514" s="13">
        <v>440</v>
      </c>
      <c r="O1514" s="15"/>
      <c r="P1514" s="6">
        <v>40590.54828703704</v>
      </c>
      <c r="Q1514" s="12"/>
      <c r="R1514" s="18" t="s">
        <v>2747</v>
      </c>
      <c r="S1514" s="11" t="s">
        <v>2748</v>
      </c>
      <c r="T1514" s="12"/>
      <c r="U1514" s="10" t="str">
        <f>HYPERLINK("https://pbs.twimg.com/profile_images/780360009330851840/sCBoc44g.jpg","View")</f>
        <v>View</v>
      </c>
    </row>
    <row r="1515" spans="1:21" ht="30.6">
      <c r="A1515" s="6">
        <v>43426.895682870367</v>
      </c>
      <c r="B1515" s="7" t="str">
        <f>HYPERLINK("https://twitter.com/Jacobo7elbobo","@Jacobo7elbobo")</f>
        <v>@Jacobo7elbobo</v>
      </c>
      <c r="C1515" s="8" t="s">
        <v>5785</v>
      </c>
      <c r="D1515" s="9" t="s">
        <v>1330</v>
      </c>
      <c r="E1515" s="10" t="str">
        <f>HYPERLINK("https://twitter.com/Jacobo7elbobo/status/1065703913654009861","1065703913654009861")</f>
        <v>1065703913654009861</v>
      </c>
      <c r="F1515" s="11" t="s">
        <v>1331</v>
      </c>
      <c r="G1515" s="12"/>
      <c r="H1515" s="12"/>
      <c r="I1515" s="13">
        <v>3</v>
      </c>
      <c r="J1515" s="13">
        <v>3</v>
      </c>
      <c r="K1515" s="14" t="str">
        <f>HYPERLINK("http://twitter.com","Twitter Web Client")</f>
        <v>Twitter Web Client</v>
      </c>
      <c r="L1515" s="13">
        <v>5397</v>
      </c>
      <c r="M1515" s="13">
        <v>5149</v>
      </c>
      <c r="N1515" s="13">
        <v>6</v>
      </c>
      <c r="O1515" s="15"/>
      <c r="P1515" s="6">
        <v>42315.993460648147</v>
      </c>
      <c r="Q1515" s="17" t="s">
        <v>5786</v>
      </c>
      <c r="R1515" s="18" t="s">
        <v>5787</v>
      </c>
      <c r="S1515" s="12"/>
      <c r="T1515" s="12"/>
      <c r="U1515" s="10" t="str">
        <f>HYPERLINK("https://pbs.twimg.com/profile_images/972809079289675776/alLBdem6.jpg","View")</f>
        <v>View</v>
      </c>
    </row>
    <row r="1516" spans="1:21" ht="30.6">
      <c r="A1516" s="6">
        <v>43426.895046296297</v>
      </c>
      <c r="B1516" s="7" t="str">
        <f>HYPERLINK("https://twitter.com/Ole2006Superole","@Ole2006Superole")</f>
        <v>@Ole2006Superole</v>
      </c>
      <c r="C1516" s="8" t="s">
        <v>674</v>
      </c>
      <c r="D1516" s="9" t="s">
        <v>5788</v>
      </c>
      <c r="E1516" s="10" t="str">
        <f>HYPERLINK("https://twitter.com/Ole2006Superole/status/1065703682552066050","1065703682552066050")</f>
        <v>1065703682552066050</v>
      </c>
      <c r="F1516" s="11" t="s">
        <v>3496</v>
      </c>
      <c r="G1516" s="12"/>
      <c r="H1516" s="12"/>
      <c r="I1516" s="13">
        <v>0</v>
      </c>
      <c r="J1516" s="13">
        <v>1</v>
      </c>
      <c r="K1516" s="14" t="str">
        <f>HYPERLINK("http://twitter.com/download/iphone","Twitter for iPhone")</f>
        <v>Twitter for iPhone</v>
      </c>
      <c r="L1516" s="13">
        <v>76</v>
      </c>
      <c r="M1516" s="13">
        <v>46</v>
      </c>
      <c r="N1516" s="13">
        <v>11</v>
      </c>
      <c r="O1516" s="15"/>
      <c r="P1516" s="6">
        <v>40872.862395833334</v>
      </c>
      <c r="Q1516" s="17" t="s">
        <v>28</v>
      </c>
      <c r="R1516" s="18" t="s">
        <v>676</v>
      </c>
      <c r="S1516" s="12"/>
      <c r="T1516" s="12"/>
      <c r="U1516" s="10" t="str">
        <f>HYPERLINK("https://pbs.twimg.com/profile_images/3682159450/181ede3124f85ddd5d29f8fe1e7ea820.jpeg","View")</f>
        <v>View</v>
      </c>
    </row>
    <row r="1517" spans="1:21" ht="30.6">
      <c r="A1517" s="6">
        <v>43426.894976851851</v>
      </c>
      <c r="B1517" s="7" t="str">
        <f>HYPERLINK("https://twitter.com/Talaverano78","@Talaverano78")</f>
        <v>@Talaverano78</v>
      </c>
      <c r="C1517" s="8" t="s">
        <v>3771</v>
      </c>
      <c r="D1517" s="9" t="s">
        <v>5789</v>
      </c>
      <c r="E1517" s="10" t="str">
        <f>HYPERLINK("https://twitter.com/Talaverano78/status/1065703656463523840","1065703656463523840")</f>
        <v>1065703656463523840</v>
      </c>
      <c r="F1517" s="12"/>
      <c r="G1517" s="12"/>
      <c r="H1517" s="12"/>
      <c r="I1517" s="13">
        <v>576</v>
      </c>
      <c r="J1517" s="13">
        <v>1094</v>
      </c>
      <c r="K1517" s="14" t="str">
        <f t="shared" ref="K1517:K1521" si="236">HYPERLINK("http://twitter.com/download/android","Twitter for Android")</f>
        <v>Twitter for Android</v>
      </c>
      <c r="L1517" s="13">
        <v>14064</v>
      </c>
      <c r="M1517" s="13">
        <v>14108</v>
      </c>
      <c r="N1517" s="13">
        <v>44</v>
      </c>
      <c r="O1517" s="15"/>
      <c r="P1517" s="6">
        <v>41292.52715277778</v>
      </c>
      <c r="Q1517" s="17" t="s">
        <v>3774</v>
      </c>
      <c r="R1517" s="18" t="s">
        <v>3775</v>
      </c>
      <c r="S1517" s="12"/>
      <c r="T1517" s="12"/>
      <c r="U1517" s="10" t="str">
        <f>HYPERLINK("https://pbs.twimg.com/profile_images/957011405751898112/KXm0ELUV.jpg","View")</f>
        <v>View</v>
      </c>
    </row>
    <row r="1518" spans="1:21" ht="30.6">
      <c r="A1518" s="6">
        <v>43426.894675925927</v>
      </c>
      <c r="B1518" s="7" t="str">
        <f>HYPERLINK("https://twitter.com/caencomonueces","@caencomonueces")</f>
        <v>@caencomonueces</v>
      </c>
      <c r="C1518" s="8" t="s">
        <v>4902</v>
      </c>
      <c r="D1518" s="9" t="s">
        <v>5791</v>
      </c>
      <c r="E1518" s="10" t="str">
        <f>HYPERLINK("https://twitter.com/caencomonueces/status/1065703548292354049","1065703548292354049")</f>
        <v>1065703548292354049</v>
      </c>
      <c r="F1518" s="11" t="s">
        <v>641</v>
      </c>
      <c r="G1518" s="12"/>
      <c r="H1518" s="12"/>
      <c r="I1518" s="13">
        <v>5</v>
      </c>
      <c r="J1518" s="13">
        <v>6</v>
      </c>
      <c r="K1518" s="14" t="str">
        <f t="shared" si="236"/>
        <v>Twitter for Android</v>
      </c>
      <c r="L1518" s="13">
        <v>629</v>
      </c>
      <c r="M1518" s="13">
        <v>1153</v>
      </c>
      <c r="N1518" s="13">
        <v>3</v>
      </c>
      <c r="O1518" s="15"/>
      <c r="P1518" s="6">
        <v>41242.801539351851</v>
      </c>
      <c r="Q1518" s="17" t="s">
        <v>436</v>
      </c>
      <c r="R1518" s="18" t="s">
        <v>4903</v>
      </c>
      <c r="S1518" s="12"/>
      <c r="T1518" s="12"/>
      <c r="U1518" s="10" t="str">
        <f>HYPERLINK("https://pbs.twimg.com/profile_images/802542076420378628/S_52YFJA.jpg","View")</f>
        <v>View</v>
      </c>
    </row>
    <row r="1519" spans="1:21" ht="40.799999999999997">
      <c r="A1519" s="6">
        <v>43426.894236111111</v>
      </c>
      <c r="B1519" s="7" t="str">
        <f>HYPERLINK("https://twitter.com/El_Perchelero","@El_Perchelero")</f>
        <v>@El_Perchelero</v>
      </c>
      <c r="C1519" s="8" t="s">
        <v>5792</v>
      </c>
      <c r="D1519" s="9" t="s">
        <v>5793</v>
      </c>
      <c r="E1519" s="10" t="str">
        <f>HYPERLINK("https://twitter.com/El_Perchelero/status/1065703390276136960","1065703390276136960")</f>
        <v>1065703390276136960</v>
      </c>
      <c r="F1519" s="17" t="s">
        <v>5794</v>
      </c>
      <c r="G1519" s="12"/>
      <c r="H1519" s="12"/>
      <c r="I1519" s="13">
        <v>0</v>
      </c>
      <c r="J1519" s="13">
        <v>0</v>
      </c>
      <c r="K1519" s="14" t="str">
        <f t="shared" si="236"/>
        <v>Twitter for Android</v>
      </c>
      <c r="L1519" s="13">
        <v>142</v>
      </c>
      <c r="M1519" s="13">
        <v>515</v>
      </c>
      <c r="N1519" s="13">
        <v>5</v>
      </c>
      <c r="O1519" s="15"/>
      <c r="P1519" s="6">
        <v>42662.697141203702</v>
      </c>
      <c r="Q1519" s="12"/>
      <c r="R1519" s="18" t="s">
        <v>5795</v>
      </c>
      <c r="S1519" s="12"/>
      <c r="T1519" s="12"/>
      <c r="U1519" s="10" t="str">
        <f>HYPERLINK("https://pbs.twimg.com/profile_images/788754962713116672/NWgKDpSO.jpg","View")</f>
        <v>View</v>
      </c>
    </row>
    <row r="1520" spans="1:21" ht="51">
      <c r="A1520" s="6">
        <v>43426.894085648149</v>
      </c>
      <c r="B1520" s="7" t="str">
        <f>HYPERLINK("https://twitter.com/Diegofsanmateo","@Diegofsanmateo")</f>
        <v>@Diegofsanmateo</v>
      </c>
      <c r="C1520" s="8" t="s">
        <v>5796</v>
      </c>
      <c r="D1520" s="9" t="s">
        <v>5797</v>
      </c>
      <c r="E1520" s="10" t="str">
        <f>HYPERLINK("https://twitter.com/Diegofsanmateo/status/1065703334777098240","1065703334777098240")</f>
        <v>1065703334777098240</v>
      </c>
      <c r="F1520" s="17" t="s">
        <v>5798</v>
      </c>
      <c r="G1520" s="11" t="s">
        <v>5799</v>
      </c>
      <c r="H1520" s="12"/>
      <c r="I1520" s="13">
        <v>0</v>
      </c>
      <c r="J1520" s="13">
        <v>1</v>
      </c>
      <c r="K1520" s="14" t="str">
        <f t="shared" si="236"/>
        <v>Twitter for Android</v>
      </c>
      <c r="L1520" s="13">
        <v>82</v>
      </c>
      <c r="M1520" s="13">
        <v>467</v>
      </c>
      <c r="N1520" s="13">
        <v>1</v>
      </c>
      <c r="O1520" s="15"/>
      <c r="P1520" s="6">
        <v>43230.001261574071</v>
      </c>
      <c r="Q1520" s="17" t="s">
        <v>28</v>
      </c>
      <c r="R1520" s="18" t="s">
        <v>5800</v>
      </c>
      <c r="S1520" s="12"/>
      <c r="T1520" s="12"/>
      <c r="U1520" s="10" t="str">
        <f>HYPERLINK("https://pbs.twimg.com/profile_images/994340575817158662/z-JTXPwc.jpg","View")</f>
        <v>View</v>
      </c>
    </row>
    <row r="1521" spans="1:21" ht="20.399999999999999">
      <c r="A1521" s="6">
        <v>43426.891886574071</v>
      </c>
      <c r="B1521" s="7" t="str">
        <f>HYPERLINK("https://twitter.com/TecnoBotijo","@TecnoBotijo")</f>
        <v>@TecnoBotijo</v>
      </c>
      <c r="C1521" s="8" t="s">
        <v>5801</v>
      </c>
      <c r="D1521" s="9" t="s">
        <v>5802</v>
      </c>
      <c r="E1521" s="10" t="str">
        <f>HYPERLINK("https://twitter.com/TecnoBotijo/status/1065702538685616128","1065702538685616128")</f>
        <v>1065702538685616128</v>
      </c>
      <c r="F1521" s="12"/>
      <c r="G1521" s="11" t="s">
        <v>5803</v>
      </c>
      <c r="H1521" s="12"/>
      <c r="I1521" s="13">
        <v>11</v>
      </c>
      <c r="J1521" s="13">
        <v>28</v>
      </c>
      <c r="K1521" s="14" t="str">
        <f t="shared" si="236"/>
        <v>Twitter for Android</v>
      </c>
      <c r="L1521" s="13">
        <v>6917</v>
      </c>
      <c r="M1521" s="13">
        <v>401</v>
      </c>
      <c r="N1521" s="13">
        <v>71</v>
      </c>
      <c r="O1521" s="15"/>
      <c r="P1521" s="6">
        <v>41948.794479166667</v>
      </c>
      <c r="Q1521" s="17" t="s">
        <v>5804</v>
      </c>
      <c r="R1521" s="18" t="s">
        <v>5805</v>
      </c>
      <c r="S1521" s="11" t="s">
        <v>5806</v>
      </c>
      <c r="T1521" s="12"/>
      <c r="U1521" s="10" t="str">
        <f>HYPERLINK("https://pbs.twimg.com/profile_images/950702626756231168/IAiRmbbc.jpg","View")</f>
        <v>View</v>
      </c>
    </row>
    <row r="1522" spans="1:21" ht="20.399999999999999">
      <c r="A1522" s="6">
        <v>43426.891655092593</v>
      </c>
      <c r="B1522" s="7" t="str">
        <f>HYPERLINK("https://twitter.com/marga805","@marga805")</f>
        <v>@marga805</v>
      </c>
      <c r="C1522" s="8" t="s">
        <v>5807</v>
      </c>
      <c r="D1522" s="9" t="s">
        <v>5808</v>
      </c>
      <c r="E1522" s="10" t="str">
        <f>HYPERLINK("https://twitter.com/marga805/status/1065702452748607488","1065702452748607488")</f>
        <v>1065702452748607488</v>
      </c>
      <c r="F1522" s="11" t="s">
        <v>5809</v>
      </c>
      <c r="G1522" s="12"/>
      <c r="H1522" s="12"/>
      <c r="I1522" s="13">
        <v>0</v>
      </c>
      <c r="J1522" s="13">
        <v>0</v>
      </c>
      <c r="K1522" s="14" t="str">
        <f>HYPERLINK("http://twitter.com","Twitter Web Client")</f>
        <v>Twitter Web Client</v>
      </c>
      <c r="L1522" s="13">
        <v>45</v>
      </c>
      <c r="M1522" s="13">
        <v>80</v>
      </c>
      <c r="N1522" s="13">
        <v>3</v>
      </c>
      <c r="O1522" s="15"/>
      <c r="P1522" s="6">
        <v>40277.479305555556</v>
      </c>
      <c r="Q1522" s="17" t="s">
        <v>810</v>
      </c>
      <c r="R1522" s="18" t="s">
        <v>5810</v>
      </c>
      <c r="S1522" s="11" t="s">
        <v>5811</v>
      </c>
      <c r="T1522" s="12"/>
      <c r="U1522" s="10" t="str">
        <f>HYPERLINK("https://pbs.twimg.com/profile_images/1124983780/moiCubista.jpg","View")</f>
        <v>View</v>
      </c>
    </row>
    <row r="1523" spans="1:21" ht="13.2">
      <c r="A1523" s="6">
        <v>43426.891504629632</v>
      </c>
      <c r="B1523" s="7" t="str">
        <f>HYPERLINK("https://twitter.com/pablocalvinho","@pablocalvinho")</f>
        <v>@pablocalvinho</v>
      </c>
      <c r="C1523" s="8" t="s">
        <v>5812</v>
      </c>
      <c r="D1523" s="9" t="s">
        <v>5813</v>
      </c>
      <c r="E1523" s="10" t="str">
        <f>HYPERLINK("https://twitter.com/pablocalvinho/status/1065702400630104065","1065702400630104065")</f>
        <v>1065702400630104065</v>
      </c>
      <c r="F1523" s="12"/>
      <c r="G1523" s="12"/>
      <c r="H1523" s="12"/>
      <c r="I1523" s="13">
        <v>0</v>
      </c>
      <c r="J1523" s="13">
        <v>1</v>
      </c>
      <c r="K1523" s="14" t="str">
        <f t="shared" ref="K1523:K1525" si="237">HYPERLINK("http://twitter.com/download/android","Twitter for Android")</f>
        <v>Twitter for Android</v>
      </c>
      <c r="L1523" s="13">
        <v>150</v>
      </c>
      <c r="M1523" s="13">
        <v>955</v>
      </c>
      <c r="N1523" s="13">
        <v>0</v>
      </c>
      <c r="O1523" s="15"/>
      <c r="P1523" s="6">
        <v>40928.87190972222</v>
      </c>
      <c r="Q1523" s="17" t="s">
        <v>1462</v>
      </c>
      <c r="R1523" s="18" t="s">
        <v>5814</v>
      </c>
      <c r="S1523" s="12"/>
      <c r="T1523" s="12"/>
      <c r="U1523" s="10" t="str">
        <f>HYPERLINK("https://pbs.twimg.com/profile_images/1060224440884183041/rGppBrJx.jpg","View")</f>
        <v>View</v>
      </c>
    </row>
    <row r="1524" spans="1:21" ht="40.799999999999997">
      <c r="A1524" s="6">
        <v>43426.891180555554</v>
      </c>
      <c r="B1524" s="7" t="str">
        <f>HYPERLINK("https://twitter.com/sanchezreal1","@sanchezreal1")</f>
        <v>@sanchezreal1</v>
      </c>
      <c r="C1524" s="8" t="s">
        <v>5815</v>
      </c>
      <c r="D1524" s="9" t="s">
        <v>5816</v>
      </c>
      <c r="E1524" s="10" t="str">
        <f>HYPERLINK("https://twitter.com/sanchezreal1/status/1065702280933060609","1065702280933060609")</f>
        <v>1065702280933060609</v>
      </c>
      <c r="F1524" s="12"/>
      <c r="G1524" s="12"/>
      <c r="H1524" s="12"/>
      <c r="I1524" s="13">
        <v>0</v>
      </c>
      <c r="J1524" s="13">
        <v>0</v>
      </c>
      <c r="K1524" s="14" t="str">
        <f t="shared" si="237"/>
        <v>Twitter for Android</v>
      </c>
      <c r="L1524" s="13">
        <v>581</v>
      </c>
      <c r="M1524" s="13">
        <v>613</v>
      </c>
      <c r="N1524" s="13">
        <v>12</v>
      </c>
      <c r="O1524" s="15"/>
      <c r="P1524" s="6">
        <v>41802.462824074071</v>
      </c>
      <c r="Q1524" s="17" t="s">
        <v>2104</v>
      </c>
      <c r="R1524" s="18" t="s">
        <v>5817</v>
      </c>
      <c r="S1524" s="12"/>
      <c r="T1524" s="12"/>
      <c r="U1524" s="10" t="str">
        <f>HYPERLINK("https://pbs.twimg.com/profile_images/1032875562082156544/6Km3cv2h.jpg","View")</f>
        <v>View</v>
      </c>
    </row>
    <row r="1525" spans="1:21" ht="30.6">
      <c r="A1525" s="6">
        <v>43426.890821759254</v>
      </c>
      <c r="B1525" s="7" t="str">
        <f>HYPERLINK("https://twitter.com/LordAkkarinTrad","@LordAkkarinTrad")</f>
        <v>@LordAkkarinTrad</v>
      </c>
      <c r="C1525" s="8" t="s">
        <v>5818</v>
      </c>
      <c r="D1525" s="9" t="s">
        <v>5819</v>
      </c>
      <c r="E1525" s="10" t="str">
        <f>HYPERLINK("https://twitter.com/LordAkkarinTrad/status/1065702150460882944","1065702150460882944")</f>
        <v>1065702150460882944</v>
      </c>
      <c r="F1525" s="12"/>
      <c r="G1525" s="12"/>
      <c r="H1525" s="12"/>
      <c r="I1525" s="13">
        <v>0</v>
      </c>
      <c r="J1525" s="13">
        <v>0</v>
      </c>
      <c r="K1525" s="14" t="str">
        <f t="shared" si="237"/>
        <v>Twitter for Android</v>
      </c>
      <c r="L1525" s="13">
        <v>2510</v>
      </c>
      <c r="M1525" s="13">
        <v>1409</v>
      </c>
      <c r="N1525" s="13">
        <v>11</v>
      </c>
      <c r="O1525" s="15"/>
      <c r="P1525" s="6">
        <v>40594.836388888885</v>
      </c>
      <c r="Q1525" s="17" t="s">
        <v>28</v>
      </c>
      <c r="R1525" s="18" t="s">
        <v>5820</v>
      </c>
      <c r="S1525" s="12"/>
      <c r="T1525" s="12"/>
      <c r="U1525" s="10" t="str">
        <f>HYPERLINK("https://pbs.twimg.com/profile_images/1008459906427604994/_NmWCoGB.jpg","View")</f>
        <v>View</v>
      </c>
    </row>
    <row r="1526" spans="1:21" ht="51">
      <c r="A1526" s="6">
        <v>43426.889513888891</v>
      </c>
      <c r="B1526" s="7" t="str">
        <f>HYPERLINK("https://twitter.com/IndignadoDaVara","@IndignadoDaVara")</f>
        <v>@IndignadoDaVara</v>
      </c>
      <c r="C1526" s="8" t="s">
        <v>5821</v>
      </c>
      <c r="D1526" s="9" t="s">
        <v>5822</v>
      </c>
      <c r="E1526" s="10" t="str">
        <f>HYPERLINK("https://twitter.com/IndignadoDaVara/status/1065701677548912643","1065701677548912643")</f>
        <v>1065701677548912643</v>
      </c>
      <c r="F1526" s="12"/>
      <c r="G1526" s="12"/>
      <c r="H1526" s="12"/>
      <c r="I1526" s="13">
        <v>0</v>
      </c>
      <c r="J1526" s="13">
        <v>0</v>
      </c>
      <c r="K1526" s="14" t="str">
        <f t="shared" ref="K1526:K1527" si="238">HYPERLINK("http://twitter.com","Twitter Web Client")</f>
        <v>Twitter Web Client</v>
      </c>
      <c r="L1526" s="13">
        <v>25</v>
      </c>
      <c r="M1526" s="13">
        <v>28</v>
      </c>
      <c r="N1526" s="13">
        <v>8</v>
      </c>
      <c r="O1526" s="15"/>
      <c r="P1526" s="6">
        <v>41096.026782407411</v>
      </c>
      <c r="Q1526" s="12"/>
      <c r="R1526" s="18" t="s">
        <v>5823</v>
      </c>
      <c r="S1526" s="12"/>
      <c r="T1526" s="12"/>
      <c r="U1526" s="10" t="str">
        <f>HYPERLINK("https://pbs.twimg.com/profile_images/2371161520/ryoxb2qeyeoedzgbr07w.jpeg","View")</f>
        <v>View</v>
      </c>
    </row>
    <row r="1527" spans="1:21" ht="20.399999999999999">
      <c r="A1527" s="6">
        <v>43426.889467592591</v>
      </c>
      <c r="B1527" s="7" t="str">
        <f>HYPERLINK("https://twitter.com/vicenterl1","@vicenterl1")</f>
        <v>@vicenterl1</v>
      </c>
      <c r="C1527" s="8" t="s">
        <v>5824</v>
      </c>
      <c r="D1527" s="9" t="s">
        <v>5825</v>
      </c>
      <c r="E1527" s="10" t="str">
        <f>HYPERLINK("https://twitter.com/vicenterl1/status/1065701661228847104","1065701661228847104")</f>
        <v>1065701661228847104</v>
      </c>
      <c r="F1527" s="11" t="s">
        <v>5826</v>
      </c>
      <c r="G1527" s="12"/>
      <c r="H1527" s="12"/>
      <c r="I1527" s="13">
        <v>0</v>
      </c>
      <c r="J1527" s="13">
        <v>0</v>
      </c>
      <c r="K1527" s="14" t="str">
        <f t="shared" si="238"/>
        <v>Twitter Web Client</v>
      </c>
      <c r="L1527" s="13">
        <v>186</v>
      </c>
      <c r="M1527" s="13">
        <v>16</v>
      </c>
      <c r="N1527" s="13">
        <v>15</v>
      </c>
      <c r="O1527" s="15"/>
      <c r="P1527" s="6">
        <v>40440.082858796297</v>
      </c>
      <c r="Q1527" s="17" t="s">
        <v>202</v>
      </c>
      <c r="R1527" s="19"/>
      <c r="S1527" s="11" t="s">
        <v>5827</v>
      </c>
      <c r="T1527" s="12"/>
      <c r="U1527" s="10" t="str">
        <f>HYPERLINK("https://pbs.twimg.com/profile_images/3128450797/a8592354dd7b9d58b220eb29ed356b0c.jpeg","View")</f>
        <v>View</v>
      </c>
    </row>
    <row r="1528" spans="1:21" ht="51">
      <c r="A1528" s="6">
        <v>43426.889432870375</v>
      </c>
      <c r="B1528" s="7" t="str">
        <f>HYPERLINK("https://twitter.com/El_Perchelero","@El_Perchelero")</f>
        <v>@El_Perchelero</v>
      </c>
      <c r="C1528" s="8" t="s">
        <v>5792</v>
      </c>
      <c r="D1528" s="9" t="s">
        <v>5830</v>
      </c>
      <c r="E1528" s="10" t="str">
        <f>HYPERLINK("https://twitter.com/El_Perchelero/status/1065701647135981573","1065701647135981573")</f>
        <v>1065701647135981573</v>
      </c>
      <c r="F1528" s="12"/>
      <c r="G1528" s="12"/>
      <c r="H1528" s="12"/>
      <c r="I1528" s="13">
        <v>0</v>
      </c>
      <c r="J1528" s="13">
        <v>0</v>
      </c>
      <c r="K1528" s="14" t="str">
        <f>HYPERLINK("http://twitter.com/download/android","Twitter for Android")</f>
        <v>Twitter for Android</v>
      </c>
      <c r="L1528" s="13">
        <v>142</v>
      </c>
      <c r="M1528" s="13">
        <v>515</v>
      </c>
      <c r="N1528" s="13">
        <v>5</v>
      </c>
      <c r="O1528" s="15"/>
      <c r="P1528" s="6">
        <v>42662.697141203702</v>
      </c>
      <c r="Q1528" s="12"/>
      <c r="R1528" s="18" t="s">
        <v>5795</v>
      </c>
      <c r="S1528" s="12"/>
      <c r="T1528" s="12"/>
      <c r="U1528" s="10" t="str">
        <f>HYPERLINK("https://pbs.twimg.com/profile_images/788754962713116672/NWgKDpSO.jpg","View")</f>
        <v>View</v>
      </c>
    </row>
    <row r="1529" spans="1:21" ht="30.6">
      <c r="A1529" s="6">
        <v>43426.889386574076</v>
      </c>
      <c r="B1529" s="7" t="str">
        <f>HYPERLINK("https://twitter.com/newsv24","@newsv24")</f>
        <v>@newsv24</v>
      </c>
      <c r="C1529" s="8" t="s">
        <v>4215</v>
      </c>
      <c r="D1529" s="9" t="s">
        <v>5831</v>
      </c>
      <c r="E1529" s="10" t="str">
        <f>HYPERLINK("https://twitter.com/newsv24/status/1065701630090334208","1065701630090334208")</f>
        <v>1065701630090334208</v>
      </c>
      <c r="F1529" s="11" t="s">
        <v>5832</v>
      </c>
      <c r="G1529" s="11" t="s">
        <v>5833</v>
      </c>
      <c r="H1529" s="12"/>
      <c r="I1529" s="13">
        <v>0</v>
      </c>
      <c r="J1529" s="13">
        <v>0</v>
      </c>
      <c r="K1529" s="14" t="str">
        <f>HYPERLINK("http://publicize.wp.com/","WordPress.com")</f>
        <v>WordPress.com</v>
      </c>
      <c r="L1529" s="13">
        <v>9</v>
      </c>
      <c r="M1529" s="13">
        <v>0</v>
      </c>
      <c r="N1529" s="13">
        <v>0</v>
      </c>
      <c r="O1529" s="15"/>
      <c r="P1529" s="6">
        <v>43333.995590277773</v>
      </c>
      <c r="Q1529" s="12"/>
      <c r="R1529" s="18" t="s">
        <v>4219</v>
      </c>
      <c r="S1529" s="11" t="s">
        <v>4220</v>
      </c>
      <c r="T1529" s="12"/>
      <c r="U1529" s="10" t="str">
        <f>HYPERLINK("https://pbs.twimg.com/profile_images/1054474206157639680/xvI2ObRw.jpg","View")</f>
        <v>View</v>
      </c>
    </row>
    <row r="1530" spans="1:21" ht="40.799999999999997">
      <c r="A1530" s="6">
        <v>43426.889282407406</v>
      </c>
      <c r="B1530" s="7" t="str">
        <f>HYPERLINK("https://twitter.com/compromtido22","@compromtido22")</f>
        <v>@compromtido22</v>
      </c>
      <c r="C1530" s="8" t="s">
        <v>5834</v>
      </c>
      <c r="D1530" s="9" t="s">
        <v>5835</v>
      </c>
      <c r="E1530" s="10" t="str">
        <f>HYPERLINK("https://twitter.com/compromtido22/status/1065701594514276352","1065701594514276352")</f>
        <v>1065701594514276352</v>
      </c>
      <c r="F1530" s="12"/>
      <c r="G1530" s="12"/>
      <c r="H1530" s="12"/>
      <c r="I1530" s="13">
        <v>0</v>
      </c>
      <c r="J1530" s="13">
        <v>0</v>
      </c>
      <c r="K1530" s="14" t="str">
        <f t="shared" ref="K1530:K1531" si="239">HYPERLINK("http://twitter.com/download/android","Twitter for Android")</f>
        <v>Twitter for Android</v>
      </c>
      <c r="L1530" s="13">
        <v>962</v>
      </c>
      <c r="M1530" s="13">
        <v>859</v>
      </c>
      <c r="N1530" s="13">
        <v>15</v>
      </c>
      <c r="O1530" s="15"/>
      <c r="P1530" s="6">
        <v>42411.832291666666</v>
      </c>
      <c r="Q1530" s="12"/>
      <c r="R1530" s="18" t="s">
        <v>5836</v>
      </c>
      <c r="S1530" s="12"/>
      <c r="T1530" s="12"/>
      <c r="U1530" s="10" t="str">
        <f>HYPERLINK("https://pbs.twimg.com/profile_images/1062806370267860993/RfSkyzB-.jpg","View")</f>
        <v>View</v>
      </c>
    </row>
    <row r="1531" spans="1:21" ht="30.6">
      <c r="A1531" s="6">
        <v>43426.889016203699</v>
      </c>
      <c r="B1531" s="7" t="str">
        <f>HYPERLINK("https://twitter.com/josecalamaarias","@josecalamaarias")</f>
        <v>@josecalamaarias</v>
      </c>
      <c r="C1531" s="8" t="s">
        <v>5837</v>
      </c>
      <c r="D1531" s="9" t="s">
        <v>5838</v>
      </c>
      <c r="E1531" s="10" t="str">
        <f>HYPERLINK("https://twitter.com/josecalamaarias/status/1065701496443027458","1065701496443027458")</f>
        <v>1065701496443027458</v>
      </c>
      <c r="F1531" s="12"/>
      <c r="G1531" s="12"/>
      <c r="H1531" s="12"/>
      <c r="I1531" s="13">
        <v>0</v>
      </c>
      <c r="J1531" s="13">
        <v>0</v>
      </c>
      <c r="K1531" s="14" t="str">
        <f t="shared" si="239"/>
        <v>Twitter for Android</v>
      </c>
      <c r="L1531" s="13">
        <v>281</v>
      </c>
      <c r="M1531" s="13">
        <v>339</v>
      </c>
      <c r="N1531" s="13">
        <v>8</v>
      </c>
      <c r="O1531" s="15"/>
      <c r="P1531" s="6">
        <v>40392.483935185184</v>
      </c>
      <c r="Q1531" s="12"/>
      <c r="R1531" s="18" t="s">
        <v>5839</v>
      </c>
      <c r="S1531" s="12"/>
      <c r="T1531" s="12"/>
      <c r="U1531" s="10" t="str">
        <f>HYPERLINK("https://pbs.twimg.com/profile_images/417732420298100736/q0NwR7iy.jpeg","View")</f>
        <v>View</v>
      </c>
    </row>
    <row r="1532" spans="1:21" ht="13.2">
      <c r="A1532" s="6">
        <v>43426.888738425929</v>
      </c>
      <c r="B1532" s="7" t="str">
        <f>HYPERLINK("https://twitter.com/merchigan","@merchigan")</f>
        <v>@merchigan</v>
      </c>
      <c r="C1532" s="8" t="s">
        <v>5840</v>
      </c>
      <c r="D1532" s="9" t="s">
        <v>1937</v>
      </c>
      <c r="E1532" s="10" t="str">
        <f>HYPERLINK("https://twitter.com/merchigan/status/1065701396450807813","1065701396450807813")</f>
        <v>1065701396450807813</v>
      </c>
      <c r="F1532" s="11" t="s">
        <v>5841</v>
      </c>
      <c r="G1532" s="12"/>
      <c r="H1532" s="12"/>
      <c r="I1532" s="13">
        <v>4</v>
      </c>
      <c r="J1532" s="13">
        <v>1</v>
      </c>
      <c r="K1532" s="14" t="str">
        <f t="shared" ref="K1532:K1533" si="240">HYPERLINK("http://twitter.com","Twitter Web Client")</f>
        <v>Twitter Web Client</v>
      </c>
      <c r="L1532" s="13">
        <v>1243</v>
      </c>
      <c r="M1532" s="13">
        <v>1126</v>
      </c>
      <c r="N1532" s="13">
        <v>14</v>
      </c>
      <c r="O1532" s="15"/>
      <c r="P1532" s="6">
        <v>40685.967453703706</v>
      </c>
      <c r="Q1532" s="17" t="s">
        <v>5842</v>
      </c>
      <c r="R1532" s="18" t="s">
        <v>5843</v>
      </c>
      <c r="S1532" s="12"/>
      <c r="T1532" s="12"/>
      <c r="U1532" s="10" t="str">
        <f>HYPERLINK("https://pbs.twimg.com/profile_images/1064647589801459713/J7W6xPsn.jpg","View")</f>
        <v>View</v>
      </c>
    </row>
    <row r="1533" spans="1:21" ht="13.2">
      <c r="A1533" s="6">
        <v>43426.888611111106</v>
      </c>
      <c r="B1533" s="7" t="str">
        <f>HYPERLINK("https://twitter.com/jggbenidorm","@jggbenidorm")</f>
        <v>@jggbenidorm</v>
      </c>
      <c r="C1533" s="8" t="s">
        <v>5844</v>
      </c>
      <c r="D1533" s="9" t="s">
        <v>2091</v>
      </c>
      <c r="E1533" s="10" t="str">
        <f>HYPERLINK("https://twitter.com/jggbenidorm/status/1065701351672426496","1065701351672426496")</f>
        <v>1065701351672426496</v>
      </c>
      <c r="F1533" s="11" t="s">
        <v>2092</v>
      </c>
      <c r="G1533" s="12"/>
      <c r="H1533" s="12"/>
      <c r="I1533" s="13">
        <v>0</v>
      </c>
      <c r="J1533" s="13">
        <v>0</v>
      </c>
      <c r="K1533" s="14" t="str">
        <f t="shared" si="240"/>
        <v>Twitter Web Client</v>
      </c>
      <c r="L1533" s="13">
        <v>93</v>
      </c>
      <c r="M1533" s="13">
        <v>100</v>
      </c>
      <c r="N1533" s="13">
        <v>3</v>
      </c>
      <c r="O1533" s="15"/>
      <c r="P1533" s="6">
        <v>41937.240057870367</v>
      </c>
      <c r="Q1533" s="12"/>
      <c r="R1533" s="19"/>
      <c r="S1533" s="12"/>
      <c r="T1533" s="12"/>
      <c r="U1533" s="10" t="str">
        <f>HYPERLINK("https://pbs.twimg.com/profile_images/587163291497144320/4qETENXB.jpg","View")</f>
        <v>View</v>
      </c>
    </row>
    <row r="1534" spans="1:21" ht="40.799999999999997">
      <c r="A1534" s="6">
        <v>43426.888553240744</v>
      </c>
      <c r="B1534" s="7" t="str">
        <f>HYPERLINK("https://twitter.com/Miguel_a_1977","@Miguel_a_1977")</f>
        <v>@Miguel_a_1977</v>
      </c>
      <c r="C1534" s="8" t="s">
        <v>5845</v>
      </c>
      <c r="D1534" s="9" t="s">
        <v>5846</v>
      </c>
      <c r="E1534" s="10" t="str">
        <f>HYPERLINK("https://twitter.com/Miguel_a_1977/status/1065701329262256128","1065701329262256128")</f>
        <v>1065701329262256128</v>
      </c>
      <c r="F1534" s="12"/>
      <c r="G1534" s="12"/>
      <c r="H1534" s="12"/>
      <c r="I1534" s="13">
        <v>0</v>
      </c>
      <c r="J1534" s="13">
        <v>1</v>
      </c>
      <c r="K1534" s="14" t="str">
        <f>HYPERLINK("http://twitter.com/download/android","Twitter for Android")</f>
        <v>Twitter for Android</v>
      </c>
      <c r="L1534" s="13">
        <v>11</v>
      </c>
      <c r="M1534" s="13">
        <v>44</v>
      </c>
      <c r="N1534" s="13">
        <v>0</v>
      </c>
      <c r="O1534" s="15"/>
      <c r="P1534" s="6">
        <v>43009.480914351851</v>
      </c>
      <c r="Q1534" s="12"/>
      <c r="R1534" s="19"/>
      <c r="S1534" s="12"/>
      <c r="T1534" s="12"/>
      <c r="U1534" s="10" t="str">
        <f>HYPERLINK("https://pbs.twimg.com/profile_images/914481941545668609/XVRVe4w4.jpg","View")</f>
        <v>View</v>
      </c>
    </row>
    <row r="1535" spans="1:21" ht="20.399999999999999">
      <c r="A1535" s="6">
        <v>43426.888206018513</v>
      </c>
      <c r="B1535" s="7" t="str">
        <f>HYPERLINK("https://twitter.com/Rubiikoy","@Rubiikoy")</f>
        <v>@Rubiikoy</v>
      </c>
      <c r="C1535" s="8" t="s">
        <v>5847</v>
      </c>
      <c r="D1535" s="9" t="s">
        <v>5848</v>
      </c>
      <c r="E1535" s="10" t="str">
        <f>HYPERLINK("https://twitter.com/Rubiikoy/status/1065701204079054848","1065701204079054848")</f>
        <v>1065701204079054848</v>
      </c>
      <c r="F1535" s="12"/>
      <c r="G1535" s="12"/>
      <c r="H1535" s="12"/>
      <c r="I1535" s="13">
        <v>0</v>
      </c>
      <c r="J1535" s="13">
        <v>0</v>
      </c>
      <c r="K1535" s="14" t="str">
        <f>HYPERLINK("http://twitter.com/download/iphone","Twitter for iPhone")</f>
        <v>Twitter for iPhone</v>
      </c>
      <c r="L1535" s="13">
        <v>200</v>
      </c>
      <c r="M1535" s="13">
        <v>211</v>
      </c>
      <c r="N1535" s="13">
        <v>0</v>
      </c>
      <c r="O1535" s="15"/>
      <c r="P1535" s="6">
        <v>43386.911747685182</v>
      </c>
      <c r="Q1535" s="17" t="s">
        <v>5849</v>
      </c>
      <c r="R1535" s="18" t="s">
        <v>5850</v>
      </c>
      <c r="S1535" s="11" t="s">
        <v>5851</v>
      </c>
      <c r="T1535" s="12"/>
      <c r="U1535" s="10" t="str">
        <f>HYPERLINK("https://pbs.twimg.com/profile_images/1060861315198173185/HjMKiUYX.jpg","View")</f>
        <v>View</v>
      </c>
    </row>
    <row r="1536" spans="1:21" ht="30.6">
      <c r="A1536" s="6">
        <v>43426.887928240743</v>
      </c>
      <c r="B1536" s="7" t="str">
        <f>HYPERLINK("https://twitter.com/okdiario","@okdiario")</f>
        <v>@okdiario</v>
      </c>
      <c r="C1536" s="8" t="s">
        <v>4980</v>
      </c>
      <c r="D1536" s="9" t="s">
        <v>1937</v>
      </c>
      <c r="E1536" s="10" t="str">
        <f>HYPERLINK("https://twitter.com/okdiario/status/1065701102719504390","1065701102719504390")</f>
        <v>1065701102719504390</v>
      </c>
      <c r="F1536" s="11" t="s">
        <v>5852</v>
      </c>
      <c r="G1536" s="12"/>
      <c r="H1536" s="12"/>
      <c r="I1536" s="13">
        <v>20</v>
      </c>
      <c r="J1536" s="13">
        <v>28</v>
      </c>
      <c r="K1536" s="14" t="str">
        <f>HYPERLINK("https://www.echobox.com","Echobox Social")</f>
        <v>Echobox Social</v>
      </c>
      <c r="L1536" s="13">
        <v>109324</v>
      </c>
      <c r="M1536" s="13">
        <v>337</v>
      </c>
      <c r="N1536" s="13">
        <v>1423</v>
      </c>
      <c r="O1536" s="16" t="s">
        <v>26</v>
      </c>
      <c r="P1536" s="6">
        <v>42241.708229166667</v>
      </c>
      <c r="Q1536" s="12"/>
      <c r="R1536" s="18" t="s">
        <v>4983</v>
      </c>
      <c r="S1536" s="11" t="s">
        <v>4984</v>
      </c>
      <c r="T1536" s="12"/>
      <c r="U1536" s="10" t="str">
        <f>HYPERLINK("https://pbs.twimg.com/profile_images/789113773697208320/3LvFvi8Q.jpg","View")</f>
        <v>View</v>
      </c>
    </row>
    <row r="1537" spans="1:21" ht="71.400000000000006">
      <c r="A1537" s="6">
        <v>43426.887858796297</v>
      </c>
      <c r="B1537" s="7" t="str">
        <f>HYPERLINK("https://twitter.com/no_facha","@no_facha")</f>
        <v>@no_facha</v>
      </c>
      <c r="C1537" s="8" t="s">
        <v>5853</v>
      </c>
      <c r="D1537" s="9" t="s">
        <v>5854</v>
      </c>
      <c r="E1537" s="10" t="str">
        <f>HYPERLINK("https://twitter.com/no_facha/status/1065701080410087424","1065701080410087424")</f>
        <v>1065701080410087424</v>
      </c>
      <c r="F1537" s="11" t="s">
        <v>5855</v>
      </c>
      <c r="G1537" s="11" t="s">
        <v>5856</v>
      </c>
      <c r="H1537" s="12"/>
      <c r="I1537" s="13">
        <v>0</v>
      </c>
      <c r="J1537" s="13">
        <v>0</v>
      </c>
      <c r="K1537" s="14" t="str">
        <f t="shared" ref="K1537:K1538" si="241">HYPERLINK("http://twitter.com","Twitter Web Client")</f>
        <v>Twitter Web Client</v>
      </c>
      <c r="L1537" s="13">
        <v>105</v>
      </c>
      <c r="M1537" s="13">
        <v>91</v>
      </c>
      <c r="N1537" s="13">
        <v>1</v>
      </c>
      <c r="O1537" s="15"/>
      <c r="P1537" s="6">
        <v>43397.989907407406</v>
      </c>
      <c r="Q1537" s="12"/>
      <c r="R1537" s="18" t="s">
        <v>5857</v>
      </c>
      <c r="S1537" s="12"/>
      <c r="T1537" s="12"/>
      <c r="U1537" s="10" t="str">
        <f>HYPERLINK("https://pbs.twimg.com/profile_images/1055214215588384770/e6FCyPKs.jpg","View")</f>
        <v>View</v>
      </c>
    </row>
    <row r="1538" spans="1:21" ht="40.799999999999997">
      <c r="A1538" s="6">
        <v>43426.887766203705</v>
      </c>
      <c r="B1538" s="7" t="str">
        <f>HYPERLINK("https://twitter.com/DamasdBlanco","@DamasdBlanco")</f>
        <v>@DamasdBlanco</v>
      </c>
      <c r="C1538" s="8" t="s">
        <v>4197</v>
      </c>
      <c r="D1538" s="9" t="s">
        <v>5858</v>
      </c>
      <c r="E1538" s="10" t="str">
        <f>HYPERLINK("https://twitter.com/DamasdBlanco/status/1065701044812943362","1065701044812943362")</f>
        <v>1065701044812943362</v>
      </c>
      <c r="F1538" s="11" t="s">
        <v>1280</v>
      </c>
      <c r="G1538" s="12"/>
      <c r="H1538" s="12"/>
      <c r="I1538" s="13">
        <v>19</v>
      </c>
      <c r="J1538" s="13">
        <v>12</v>
      </c>
      <c r="K1538" s="14" t="str">
        <f t="shared" si="241"/>
        <v>Twitter Web Client</v>
      </c>
      <c r="L1538" s="13">
        <v>28165</v>
      </c>
      <c r="M1538" s="13">
        <v>3218</v>
      </c>
      <c r="N1538" s="13">
        <v>439</v>
      </c>
      <c r="O1538" s="15"/>
      <c r="P1538" s="6">
        <v>40295.827615740738</v>
      </c>
      <c r="Q1538" s="17" t="s">
        <v>4200</v>
      </c>
      <c r="R1538" s="18" t="s">
        <v>4201</v>
      </c>
      <c r="S1538" s="11" t="s">
        <v>4202</v>
      </c>
      <c r="T1538" s="12"/>
      <c r="U1538" s="10" t="str">
        <f>HYPERLINK("https://pbs.twimg.com/profile_images/1048363394942865408/L7MW1vT-.jpg","View")</f>
        <v>View</v>
      </c>
    </row>
    <row r="1539" spans="1:21" ht="20.399999999999999">
      <c r="A1539" s="6">
        <v>43426.887592592597</v>
      </c>
      <c r="B1539" s="7" t="str">
        <f>HYPERLINK("https://twitter.com/lauvzar","@lauvzar")</f>
        <v>@lauvzar</v>
      </c>
      <c r="C1539" s="8" t="s">
        <v>5859</v>
      </c>
      <c r="D1539" s="9" t="s">
        <v>5860</v>
      </c>
      <c r="E1539" s="10" t="str">
        <f>HYPERLINK("https://twitter.com/lauvzar/status/1065700979771940864","1065700979771940864")</f>
        <v>1065700979771940864</v>
      </c>
      <c r="F1539" s="12"/>
      <c r="G1539" s="12"/>
      <c r="H1539" s="12"/>
      <c r="I1539" s="13">
        <v>0</v>
      </c>
      <c r="J1539" s="13">
        <v>1</v>
      </c>
      <c r="K1539" s="14" t="str">
        <f>HYPERLINK("http://twitter.com/download/android","Twitter for Android")</f>
        <v>Twitter for Android</v>
      </c>
      <c r="L1539" s="13">
        <v>351</v>
      </c>
      <c r="M1539" s="13">
        <v>278</v>
      </c>
      <c r="N1539" s="13">
        <v>8</v>
      </c>
      <c r="O1539" s="15"/>
      <c r="P1539" s="6">
        <v>40822.464884259258</v>
      </c>
      <c r="Q1539" s="17" t="s">
        <v>5861</v>
      </c>
      <c r="R1539" s="18" t="s">
        <v>5862</v>
      </c>
      <c r="S1539" s="11" t="s">
        <v>5863</v>
      </c>
      <c r="T1539" s="12"/>
      <c r="U1539" s="10" t="str">
        <f>HYPERLINK("https://pbs.twimg.com/profile_images/877626932971663361/CZ-QXRs8.jpg","View")</f>
        <v>View</v>
      </c>
    </row>
    <row r="1540" spans="1:21" ht="30.6">
      <c r="A1540" s="6">
        <v>43426.887465277774</v>
      </c>
      <c r="B1540" s="7" t="str">
        <f>HYPERLINK("https://twitter.com/elperiodico","@elperiodico")</f>
        <v>@elperiodico</v>
      </c>
      <c r="C1540" s="8" t="s">
        <v>300</v>
      </c>
      <c r="D1540" s="9" t="s">
        <v>5864</v>
      </c>
      <c r="E1540" s="10" t="str">
        <f>HYPERLINK("https://twitter.com/elperiodico/status/1065700936327274496","1065700936327274496")</f>
        <v>1065700936327274496</v>
      </c>
      <c r="F1540" s="11" t="s">
        <v>5865</v>
      </c>
      <c r="G1540" s="12"/>
      <c r="H1540" s="12"/>
      <c r="I1540" s="13">
        <v>9</v>
      </c>
      <c r="J1540" s="13">
        <v>5</v>
      </c>
      <c r="K1540" s="14" t="str">
        <f>HYPERLINK("http://dogtrack.es","DogTrack_Oficial")</f>
        <v>DogTrack_Oficial</v>
      </c>
      <c r="L1540" s="13">
        <v>596514</v>
      </c>
      <c r="M1540" s="13">
        <v>18498</v>
      </c>
      <c r="N1540" s="13">
        <v>6922</v>
      </c>
      <c r="O1540" s="16" t="s">
        <v>26</v>
      </c>
      <c r="P1540" s="6">
        <v>40456.539560185185</v>
      </c>
      <c r="Q1540" s="17" t="s">
        <v>191</v>
      </c>
      <c r="R1540" s="18" t="s">
        <v>308</v>
      </c>
      <c r="S1540" s="11" t="s">
        <v>309</v>
      </c>
      <c r="T1540" s="12"/>
      <c r="U1540" s="10" t="str">
        <f>HYPERLINK("https://pbs.twimg.com/profile_images/876802324135653377/s4G6oS9o.jpg","View")</f>
        <v>View</v>
      </c>
    </row>
    <row r="1541" spans="1:21" ht="40.799999999999997">
      <c r="A1541" s="6">
        <v>43426.887349537035</v>
      </c>
      <c r="B1541" s="7" t="str">
        <f>HYPERLINK("https://twitter.com/IndignadoDaVara","@IndignadoDaVara")</f>
        <v>@IndignadoDaVara</v>
      </c>
      <c r="C1541" s="8" t="s">
        <v>5821</v>
      </c>
      <c r="D1541" s="9" t="s">
        <v>5866</v>
      </c>
      <c r="E1541" s="10" t="str">
        <f>HYPERLINK("https://twitter.com/IndignadoDaVara/status/1065700895755780101","1065700895755780101")</f>
        <v>1065700895755780101</v>
      </c>
      <c r="F1541" s="11" t="s">
        <v>5867</v>
      </c>
      <c r="G1541" s="12"/>
      <c r="H1541" s="12"/>
      <c r="I1541" s="13">
        <v>0</v>
      </c>
      <c r="J1541" s="13">
        <v>0</v>
      </c>
      <c r="K1541" s="14" t="str">
        <f t="shared" ref="K1541:K1542" si="242">HYPERLINK("http://twitter.com","Twitter Web Client")</f>
        <v>Twitter Web Client</v>
      </c>
      <c r="L1541" s="13">
        <v>25</v>
      </c>
      <c r="M1541" s="13">
        <v>28</v>
      </c>
      <c r="N1541" s="13">
        <v>8</v>
      </c>
      <c r="O1541" s="15"/>
      <c r="P1541" s="6">
        <v>41096.026782407411</v>
      </c>
      <c r="Q1541" s="12"/>
      <c r="R1541" s="18" t="s">
        <v>5823</v>
      </c>
      <c r="S1541" s="12"/>
      <c r="T1541" s="12"/>
      <c r="U1541" s="10" t="str">
        <f>HYPERLINK("https://pbs.twimg.com/profile_images/2371161520/ryoxb2qeyeoedzgbr07w.jpeg","View")</f>
        <v>View</v>
      </c>
    </row>
    <row r="1542" spans="1:21" ht="30.6">
      <c r="A1542" s="6">
        <v>43426.887291666666</v>
      </c>
      <c r="B1542" s="7" t="str">
        <f>HYPERLINK("https://twitter.com/jar_69","@jar_69")</f>
        <v>@jar_69</v>
      </c>
      <c r="C1542" s="8" t="s">
        <v>5868</v>
      </c>
      <c r="D1542" s="9" t="s">
        <v>640</v>
      </c>
      <c r="E1542" s="10" t="str">
        <f>HYPERLINK("https://twitter.com/jar_69/status/1065700871831543808","1065700871831543808")</f>
        <v>1065700871831543808</v>
      </c>
      <c r="F1542" s="11" t="s">
        <v>641</v>
      </c>
      <c r="G1542" s="12"/>
      <c r="H1542" s="12"/>
      <c r="I1542" s="13">
        <v>1</v>
      </c>
      <c r="J1542" s="13">
        <v>1</v>
      </c>
      <c r="K1542" s="14" t="str">
        <f t="shared" si="242"/>
        <v>Twitter Web Client</v>
      </c>
      <c r="L1542" s="13">
        <v>396</v>
      </c>
      <c r="M1542" s="13">
        <v>1102</v>
      </c>
      <c r="N1542" s="13">
        <v>9</v>
      </c>
      <c r="O1542" s="15"/>
      <c r="P1542" s="6">
        <v>40615.772523148145</v>
      </c>
      <c r="Q1542" s="17" t="s">
        <v>72</v>
      </c>
      <c r="R1542" s="18" t="s">
        <v>5869</v>
      </c>
      <c r="S1542" s="12"/>
      <c r="T1542" s="12"/>
      <c r="U1542" s="10" t="str">
        <f>HYPERLINK("https://pbs.twimg.com/profile_images/510105277715075072/Ty2Rbtt4.jpeg","View")</f>
        <v>View</v>
      </c>
    </row>
    <row r="1543" spans="1:21" ht="71.400000000000006">
      <c r="A1543" s="6">
        <v>43426.887129629627</v>
      </c>
      <c r="B1543" s="7" t="str">
        <f>HYPERLINK("https://twitter.com/CidBermejo","@CidBermejo")</f>
        <v>@CidBermejo</v>
      </c>
      <c r="C1543" s="8" t="s">
        <v>5871</v>
      </c>
      <c r="D1543" s="9" t="s">
        <v>5872</v>
      </c>
      <c r="E1543" s="10" t="str">
        <f>HYPERLINK("https://twitter.com/CidBermejo/status/1065700813404819462","1065700813404819462")</f>
        <v>1065700813404819462</v>
      </c>
      <c r="F1543" s="11" t="s">
        <v>5873</v>
      </c>
      <c r="G1543" s="11" t="s">
        <v>5874</v>
      </c>
      <c r="H1543" s="12"/>
      <c r="I1543" s="13">
        <v>0</v>
      </c>
      <c r="J1543" s="13">
        <v>0</v>
      </c>
      <c r="K1543" s="14" t="str">
        <f t="shared" ref="K1543:K1544" si="243">HYPERLINK("http://twitter.com/download/android","Twitter for Android")</f>
        <v>Twitter for Android</v>
      </c>
      <c r="L1543" s="13">
        <v>378</v>
      </c>
      <c r="M1543" s="13">
        <v>1531</v>
      </c>
      <c r="N1543" s="13">
        <v>5</v>
      </c>
      <c r="O1543" s="15"/>
      <c r="P1543" s="6">
        <v>41268.572685185187</v>
      </c>
      <c r="Q1543" s="17" t="s">
        <v>5875</v>
      </c>
      <c r="R1543" s="18" t="s">
        <v>5876</v>
      </c>
      <c r="S1543" s="12"/>
      <c r="T1543" s="12"/>
      <c r="U1543" s="10" t="str">
        <f>HYPERLINK("https://pbs.twimg.com/profile_images/687332231015170049/wdP7nu4x.jpg","View")</f>
        <v>View</v>
      </c>
    </row>
    <row r="1544" spans="1:21" ht="20.399999999999999">
      <c r="A1544" s="6">
        <v>43426.886921296296</v>
      </c>
      <c r="B1544" s="7" t="str">
        <f>HYPERLINK("https://twitter.com/Extremoforo","@Extremoforo")</f>
        <v>@Extremoforo</v>
      </c>
      <c r="C1544" s="8" t="s">
        <v>5877</v>
      </c>
      <c r="D1544" s="9" t="s">
        <v>4650</v>
      </c>
      <c r="E1544" s="10" t="str">
        <f>HYPERLINK("https://twitter.com/Extremoforo/status/1065700739727720449","1065700739727720449")</f>
        <v>1065700739727720449</v>
      </c>
      <c r="F1544" s="11" t="s">
        <v>2089</v>
      </c>
      <c r="G1544" s="12"/>
      <c r="H1544" s="12"/>
      <c r="I1544" s="13">
        <v>0</v>
      </c>
      <c r="J1544" s="13">
        <v>0</v>
      </c>
      <c r="K1544" s="14" t="str">
        <f t="shared" si="243"/>
        <v>Twitter for Android</v>
      </c>
      <c r="L1544" s="13">
        <v>212</v>
      </c>
      <c r="M1544" s="13">
        <v>209</v>
      </c>
      <c r="N1544" s="13">
        <v>3</v>
      </c>
      <c r="O1544" s="15"/>
      <c r="P1544" s="6">
        <v>41318.60392361111</v>
      </c>
      <c r="Q1544" s="17" t="s">
        <v>5878</v>
      </c>
      <c r="R1544" s="18" t="s">
        <v>5879</v>
      </c>
      <c r="S1544" s="11" t="s">
        <v>5880</v>
      </c>
      <c r="T1544" s="12"/>
      <c r="U1544" s="10" t="str">
        <f>HYPERLINK("https://pbs.twimg.com/profile_images/978020899315167232/6sI74kvw.jpg","View")</f>
        <v>View</v>
      </c>
    </row>
    <row r="1545" spans="1:21" ht="61.2">
      <c r="A1545" s="6">
        <v>43426.88663194445</v>
      </c>
      <c r="B1545" s="7" t="str">
        <f>HYPERLINK("https://twitter.com/redonpond","@redonpond")</f>
        <v>@redonpond</v>
      </c>
      <c r="C1545" s="8" t="s">
        <v>5881</v>
      </c>
      <c r="D1545" s="9" t="s">
        <v>5882</v>
      </c>
      <c r="E1545" s="10" t="str">
        <f>HYPERLINK("https://twitter.com/redonpond/status/1065700633154543616","1065700633154543616")</f>
        <v>1065700633154543616</v>
      </c>
      <c r="F1545" s="12"/>
      <c r="G1545" s="12"/>
      <c r="H1545" s="12"/>
      <c r="I1545" s="13">
        <v>2</v>
      </c>
      <c r="J1545" s="13">
        <v>1</v>
      </c>
      <c r="K1545" s="14" t="str">
        <f t="shared" ref="K1545:K1546" si="244">HYPERLINK("http://twitter.com","Twitter Web Client")</f>
        <v>Twitter Web Client</v>
      </c>
      <c r="L1545" s="13">
        <v>2672</v>
      </c>
      <c r="M1545" s="13">
        <v>3643</v>
      </c>
      <c r="N1545" s="13">
        <v>23</v>
      </c>
      <c r="O1545" s="15"/>
      <c r="P1545" s="6">
        <v>40683.738217592589</v>
      </c>
      <c r="Q1545" s="17" t="s">
        <v>5883</v>
      </c>
      <c r="R1545" s="18" t="s">
        <v>5884</v>
      </c>
      <c r="S1545" s="12"/>
      <c r="T1545" s="12"/>
      <c r="U1545" s="10" t="str">
        <f>HYPERLINK("https://pbs.twimg.com/profile_images/1840614690/Bandera_de_Europa.jpg","View")</f>
        <v>View</v>
      </c>
    </row>
    <row r="1546" spans="1:21" ht="30.6">
      <c r="A1546" s="6">
        <v>43426.886122685188</v>
      </c>
      <c r="B1546" s="7" t="str">
        <f>HYPERLINK("https://twitter.com/ngarrigosp","@ngarrigosp")</f>
        <v>@ngarrigosp</v>
      </c>
      <c r="C1546" s="8" t="s">
        <v>5885</v>
      </c>
      <c r="D1546" s="9" t="s">
        <v>5808</v>
      </c>
      <c r="E1546" s="10" t="str">
        <f>HYPERLINK("https://twitter.com/ngarrigosp/status/1065700448152231938","1065700448152231938")</f>
        <v>1065700448152231938</v>
      </c>
      <c r="F1546" s="11" t="s">
        <v>5809</v>
      </c>
      <c r="G1546" s="12"/>
      <c r="H1546" s="12"/>
      <c r="I1546" s="13">
        <v>0</v>
      </c>
      <c r="J1546" s="13">
        <v>0</v>
      </c>
      <c r="K1546" s="14" t="str">
        <f t="shared" si="244"/>
        <v>Twitter Web Client</v>
      </c>
      <c r="L1546" s="13">
        <v>2288</v>
      </c>
      <c r="M1546" s="13">
        <v>2094</v>
      </c>
      <c r="N1546" s="13">
        <v>37</v>
      </c>
      <c r="O1546" s="15"/>
      <c r="P1546" s="6">
        <v>40614.759479166663</v>
      </c>
      <c r="Q1546" s="17" t="s">
        <v>5886</v>
      </c>
      <c r="R1546" s="18" t="s">
        <v>5887</v>
      </c>
      <c r="S1546" s="12"/>
      <c r="T1546" s="12"/>
      <c r="U1546" s="10" t="str">
        <f>HYPERLINK("https://pbs.twimg.com/profile_images/1063053738984792065/R8V_d1iR.jpg","View")</f>
        <v>View</v>
      </c>
    </row>
    <row r="1547" spans="1:21" ht="40.799999999999997">
      <c r="A1547" s="6">
        <v>43426.886041666672</v>
      </c>
      <c r="B1547" s="7" t="str">
        <f>HYPERLINK("https://twitter.com/PrensaGtmo","@PrensaGtmo")</f>
        <v>@PrensaGtmo</v>
      </c>
      <c r="C1547" s="8" t="s">
        <v>5888</v>
      </c>
      <c r="D1547" s="9" t="s">
        <v>5889</v>
      </c>
      <c r="E1547" s="10" t="str">
        <f>HYPERLINK("https://twitter.com/PrensaGtmo/status/1065700419849072641","1065700419849072641")</f>
        <v>1065700419849072641</v>
      </c>
      <c r="F1547" s="11" t="s">
        <v>5890</v>
      </c>
      <c r="G1547" s="12"/>
      <c r="H1547" s="12"/>
      <c r="I1547" s="13">
        <v>0</v>
      </c>
      <c r="J1547" s="13">
        <v>0</v>
      </c>
      <c r="K1547" s="14" t="str">
        <f>HYPERLINK("http://www.facebook.com/twitter","Facebook")</f>
        <v>Facebook</v>
      </c>
      <c r="L1547" s="13">
        <v>2414</v>
      </c>
      <c r="M1547" s="13">
        <v>404</v>
      </c>
      <c r="N1547" s="13">
        <v>52</v>
      </c>
      <c r="O1547" s="15"/>
      <c r="P1547" s="6">
        <v>40129.709976851853</v>
      </c>
      <c r="Q1547" s="17" t="s">
        <v>5517</v>
      </c>
      <c r="R1547" s="18" t="s">
        <v>5891</v>
      </c>
      <c r="S1547" s="11" t="s">
        <v>5892</v>
      </c>
      <c r="T1547" s="12"/>
      <c r="U1547" s="10" t="str">
        <f>HYPERLINK("https://pbs.twimg.com/profile_images/1001598348208455681/ex0QN-aD.jpg","View")</f>
        <v>View</v>
      </c>
    </row>
    <row r="1548" spans="1:21" ht="30.6">
      <c r="A1548" s="6">
        <v>43426.88548611111</v>
      </c>
      <c r="B1548" s="7" t="str">
        <f>HYPERLINK("https://twitter.com/quediario","@quediario")</f>
        <v>@quediario</v>
      </c>
      <c r="C1548" s="8" t="s">
        <v>5893</v>
      </c>
      <c r="D1548" s="9" t="s">
        <v>5894</v>
      </c>
      <c r="E1548" s="10" t="str">
        <f>HYPERLINK("https://twitter.com/quediario/status/1065700216505069574","1065700216505069574")</f>
        <v>1065700216505069574</v>
      </c>
      <c r="F1548" s="11" t="s">
        <v>5895</v>
      </c>
      <c r="G1548" s="11" t="s">
        <v>5896</v>
      </c>
      <c r="H1548" s="12"/>
      <c r="I1548" s="13">
        <v>0</v>
      </c>
      <c r="J1548" s="13">
        <v>0</v>
      </c>
      <c r="K1548" s="14" t="str">
        <f>HYPERLINK("https://www.hootsuite.com","Hootsuite Inc.")</f>
        <v>Hootsuite Inc.</v>
      </c>
      <c r="L1548" s="13">
        <v>42149</v>
      </c>
      <c r="M1548" s="13">
        <v>19458</v>
      </c>
      <c r="N1548" s="13">
        <v>900</v>
      </c>
      <c r="O1548" s="16" t="s">
        <v>26</v>
      </c>
      <c r="P1548" s="6">
        <v>39904.468252314815</v>
      </c>
      <c r="Q1548" s="17" t="s">
        <v>1692</v>
      </c>
      <c r="R1548" s="18" t="s">
        <v>5897</v>
      </c>
      <c r="S1548" s="11" t="s">
        <v>5898</v>
      </c>
      <c r="T1548" s="12"/>
      <c r="U1548" s="10" t="str">
        <f>HYPERLINK("https://pbs.twimg.com/profile_images/921305149435465728/fPbLkA-k.jpg","View")</f>
        <v>View</v>
      </c>
    </row>
    <row r="1549" spans="1:21" ht="30.6">
      <c r="A1549" s="6">
        <v>43426.885416666672</v>
      </c>
      <c r="B1549" s="7" t="str">
        <f>HYPERLINK("https://twitter.com/doblellave","@doblellave")</f>
        <v>@doblellave</v>
      </c>
      <c r="C1549" s="8" t="s">
        <v>1256</v>
      </c>
      <c r="D1549" s="9" t="s">
        <v>5899</v>
      </c>
      <c r="E1549" s="10" t="str">
        <f>HYPERLINK("https://twitter.com/doblellave/status/1065700193046282241","1065700193046282241")</f>
        <v>1065700193046282241</v>
      </c>
      <c r="F1549" s="11" t="s">
        <v>1259</v>
      </c>
      <c r="G1549" s="12"/>
      <c r="H1549" s="12"/>
      <c r="I1549" s="13">
        <v>0</v>
      </c>
      <c r="J1549" s="13">
        <v>0</v>
      </c>
      <c r="K1549" s="14" t="str">
        <f>HYPERLINK("https://about.twitter.com/products/tweetdeck","TweetDeck")</f>
        <v>TweetDeck</v>
      </c>
      <c r="L1549" s="13">
        <v>47698</v>
      </c>
      <c r="M1549" s="13">
        <v>6174</v>
      </c>
      <c r="N1549" s="13">
        <v>156</v>
      </c>
      <c r="O1549" s="15"/>
      <c r="P1549" s="6">
        <v>40754.066516203704</v>
      </c>
      <c r="Q1549" s="17" t="s">
        <v>104</v>
      </c>
      <c r="R1549" s="18" t="s">
        <v>1260</v>
      </c>
      <c r="S1549" s="11" t="s">
        <v>1261</v>
      </c>
      <c r="T1549" s="12"/>
      <c r="U1549" s="10" t="str">
        <f>HYPERLINK("https://pbs.twimg.com/profile_images/876900028861870080/kzOXxNIR.jpg","View")</f>
        <v>View</v>
      </c>
    </row>
    <row r="1550" spans="1:21" ht="40.799999999999997">
      <c r="A1550" s="6">
        <v>43426.885393518518</v>
      </c>
      <c r="B1550" s="7" t="str">
        <f>HYPERLINK("https://twitter.com/Markosovic","@Markosovic")</f>
        <v>@Markosovic</v>
      </c>
      <c r="C1550" s="8" t="s">
        <v>5900</v>
      </c>
      <c r="D1550" s="9" t="s">
        <v>5901</v>
      </c>
      <c r="E1550" s="10" t="str">
        <f>HYPERLINK("https://twitter.com/Markosovic/status/1065700183730720770","1065700183730720770")</f>
        <v>1065700183730720770</v>
      </c>
      <c r="F1550" s="11" t="s">
        <v>5902</v>
      </c>
      <c r="G1550" s="11" t="s">
        <v>5903</v>
      </c>
      <c r="H1550" s="12"/>
      <c r="I1550" s="13">
        <v>2</v>
      </c>
      <c r="J1550" s="13">
        <v>9</v>
      </c>
      <c r="K1550" s="14" t="str">
        <f t="shared" ref="K1550:K1551" si="245">HYPERLINK("http://twitter.com/download/android","Twitter for Android")</f>
        <v>Twitter for Android</v>
      </c>
      <c r="L1550" s="13">
        <v>593</v>
      </c>
      <c r="M1550" s="13">
        <v>184</v>
      </c>
      <c r="N1550" s="13">
        <v>5</v>
      </c>
      <c r="O1550" s="15"/>
      <c r="P1550" s="6">
        <v>41993.005219907413</v>
      </c>
      <c r="Q1550" s="17" t="s">
        <v>5904</v>
      </c>
      <c r="R1550" s="18" t="s">
        <v>5905</v>
      </c>
      <c r="S1550" s="12"/>
      <c r="T1550" s="12"/>
      <c r="U1550" s="10" t="str">
        <f>HYPERLINK("https://pbs.twimg.com/profile_images/1065191217644879872/U44ESOyf.jpg","View")</f>
        <v>View</v>
      </c>
    </row>
    <row r="1551" spans="1:21" ht="40.799999999999997">
      <c r="A1551" s="6">
        <v>43426.885266203702</v>
      </c>
      <c r="B1551" s="7" t="str">
        <f>HYPERLINK("https://twitter.com/niporwifi","@niporwifi")</f>
        <v>@niporwifi</v>
      </c>
      <c r="C1551" s="8" t="s">
        <v>5906</v>
      </c>
      <c r="D1551" s="9" t="s">
        <v>5907</v>
      </c>
      <c r="E1551" s="10" t="str">
        <f>HYPERLINK("https://twitter.com/niporwifi/status/1065700138742673410","1065700138742673410")</f>
        <v>1065700138742673410</v>
      </c>
      <c r="F1551" s="11" t="s">
        <v>5908</v>
      </c>
      <c r="G1551" s="12"/>
      <c r="H1551" s="12"/>
      <c r="I1551" s="13">
        <v>1</v>
      </c>
      <c r="J1551" s="13">
        <v>2</v>
      </c>
      <c r="K1551" s="14" t="str">
        <f t="shared" si="245"/>
        <v>Twitter for Android</v>
      </c>
      <c r="L1551" s="13">
        <v>3754</v>
      </c>
      <c r="M1551" s="13">
        <v>872</v>
      </c>
      <c r="N1551" s="13">
        <v>78</v>
      </c>
      <c r="O1551" s="15"/>
      <c r="P1551" s="6">
        <v>40028.668194444443</v>
      </c>
      <c r="Q1551" s="17" t="s">
        <v>550</v>
      </c>
      <c r="R1551" s="18" t="s">
        <v>5909</v>
      </c>
      <c r="S1551" s="12"/>
      <c r="T1551" s="12"/>
      <c r="U1551" s="10" t="str">
        <f>HYPERLINK("https://pbs.twimg.com/profile_images/872476020049408000/rxk2_v33.jpg","View")</f>
        <v>View</v>
      </c>
    </row>
    <row r="1552" spans="1:21" ht="30.6">
      <c r="A1552" s="6">
        <v>43426.885115740741</v>
      </c>
      <c r="B1552" s="7" t="str">
        <f>HYPERLINK("https://twitter.com/Monkytu","@Monkytu")</f>
        <v>@Monkytu</v>
      </c>
      <c r="C1552" s="8" t="s">
        <v>5910</v>
      </c>
      <c r="D1552" s="9" t="s">
        <v>5911</v>
      </c>
      <c r="E1552" s="10" t="str">
        <f>HYPERLINK("https://twitter.com/Monkytu/status/1065700083755335680","1065700083755335680")</f>
        <v>1065700083755335680</v>
      </c>
      <c r="F1552" s="12"/>
      <c r="G1552" s="12"/>
      <c r="H1552" s="12"/>
      <c r="I1552" s="13">
        <v>0</v>
      </c>
      <c r="J1552" s="13">
        <v>0</v>
      </c>
      <c r="K1552" s="14" t="str">
        <f>HYPERLINK("http://twitter.com/download/iphone","Twitter for iPhone")</f>
        <v>Twitter for iPhone</v>
      </c>
      <c r="L1552" s="13">
        <v>405</v>
      </c>
      <c r="M1552" s="13">
        <v>533</v>
      </c>
      <c r="N1552" s="13">
        <v>2</v>
      </c>
      <c r="O1552" s="15"/>
      <c r="P1552" s="6">
        <v>40801.434687499997</v>
      </c>
      <c r="Q1552" s="17" t="s">
        <v>870</v>
      </c>
      <c r="R1552" s="18" t="s">
        <v>5912</v>
      </c>
      <c r="S1552" s="12"/>
      <c r="T1552" s="12"/>
      <c r="U1552" s="10" t="str">
        <f>HYPERLINK("https://pbs.twimg.com/profile_images/1057006727311298560/3FRof7Ls.jpg","View")</f>
        <v>View</v>
      </c>
    </row>
    <row r="1553" spans="1:21" ht="20.399999999999999">
      <c r="A1553" s="6">
        <v>43426.884872685187</v>
      </c>
      <c r="B1553" s="7" t="str">
        <f>HYPERLINK("https://twitter.com/justonavarroPP","@justonavarroPP")</f>
        <v>@justonavarroPP</v>
      </c>
      <c r="C1553" s="8" t="s">
        <v>5913</v>
      </c>
      <c r="D1553" s="9" t="s">
        <v>5914</v>
      </c>
      <c r="E1553" s="10" t="str">
        <f>HYPERLINK("https://twitter.com/justonavarroPP/status/1065699995754606592","1065699995754606592")</f>
        <v>1065699995754606592</v>
      </c>
      <c r="F1553" s="11" t="s">
        <v>5915</v>
      </c>
      <c r="G1553" s="12"/>
      <c r="H1553" s="12"/>
      <c r="I1553" s="13">
        <v>0</v>
      </c>
      <c r="J1553" s="13">
        <v>0</v>
      </c>
      <c r="K1553" s="14" t="str">
        <f>HYPERLINK("http://twitter.com/download/android","Twitter for Android")</f>
        <v>Twitter for Android</v>
      </c>
      <c r="L1553" s="13">
        <v>103</v>
      </c>
      <c r="M1553" s="13">
        <v>200</v>
      </c>
      <c r="N1553" s="13">
        <v>0</v>
      </c>
      <c r="O1553" s="15"/>
      <c r="P1553" s="6">
        <v>41036.379259259258</v>
      </c>
      <c r="Q1553" s="17" t="s">
        <v>5916</v>
      </c>
      <c r="R1553" s="19"/>
      <c r="S1553" s="12"/>
      <c r="T1553" s="12"/>
      <c r="U1553" s="10" t="str">
        <f>HYPERLINK("https://pbs.twimg.com/profile_images/1021510608964005889/L815VZ6q.jpg","View")</f>
        <v>View</v>
      </c>
    </row>
    <row r="1554" spans="1:21" ht="20.399999999999999">
      <c r="A1554" s="6">
        <v>43426.88481481481</v>
      </c>
      <c r="B1554" s="7" t="str">
        <f>HYPERLINK("https://twitter.com/comoestaestpais","@comoestaestpais")</f>
        <v>@comoestaestpais</v>
      </c>
      <c r="C1554" s="8" t="s">
        <v>5917</v>
      </c>
      <c r="D1554" s="9" t="s">
        <v>5918</v>
      </c>
      <c r="E1554" s="10" t="str">
        <f>HYPERLINK("https://twitter.com/comoestaestpais/status/1065699974929924102","1065699974929924102")</f>
        <v>1065699974929924102</v>
      </c>
      <c r="F1554" s="12"/>
      <c r="G1554" s="12"/>
      <c r="H1554" s="12"/>
      <c r="I1554" s="13">
        <v>0</v>
      </c>
      <c r="J1554" s="13">
        <v>0</v>
      </c>
      <c r="K1554" s="14" t="str">
        <f>HYPERLINK("http://twitter.com","Twitter Web Client")</f>
        <v>Twitter Web Client</v>
      </c>
      <c r="L1554" s="13">
        <v>7</v>
      </c>
      <c r="M1554" s="13">
        <v>50</v>
      </c>
      <c r="N1554" s="13">
        <v>0</v>
      </c>
      <c r="O1554" s="15"/>
      <c r="P1554" s="6">
        <v>43028.970393518517</v>
      </c>
      <c r="Q1554" s="12"/>
      <c r="R1554" s="19"/>
      <c r="S1554" s="12"/>
      <c r="T1554" s="12"/>
      <c r="U1554" s="10" t="str">
        <f>HYPERLINK("https://pbs.twimg.com/profile_images/921893342971158530/qstU2w8X.jpg","View")</f>
        <v>View</v>
      </c>
    </row>
    <row r="1555" spans="1:21" ht="40.799999999999997">
      <c r="A1555" s="6">
        <v>43426.88480324074</v>
      </c>
      <c r="B1555" s="7" t="str">
        <f>HYPERLINK("https://twitter.com/antoniobernabe","@antoniobernabe")</f>
        <v>@antoniobernabe</v>
      </c>
      <c r="C1555" s="8" t="s">
        <v>5919</v>
      </c>
      <c r="D1555" s="9" t="s">
        <v>5920</v>
      </c>
      <c r="E1555" s="10" t="str">
        <f>HYPERLINK("https://twitter.com/antoniobernabe/status/1065699970584637440","1065699970584637440")</f>
        <v>1065699970584637440</v>
      </c>
      <c r="F1555" s="11" t="s">
        <v>5921</v>
      </c>
      <c r="G1555" s="12"/>
      <c r="H1555" s="12"/>
      <c r="I1555" s="13">
        <v>0</v>
      </c>
      <c r="J1555" s="13">
        <v>0</v>
      </c>
      <c r="K1555" s="14" t="str">
        <f>HYPERLINK("http://www.facebook.com/twitter","Facebook")</f>
        <v>Facebook</v>
      </c>
      <c r="L1555" s="13">
        <v>2145</v>
      </c>
      <c r="M1555" s="13">
        <v>1732</v>
      </c>
      <c r="N1555" s="13">
        <v>35</v>
      </c>
      <c r="O1555" s="15"/>
      <c r="P1555" s="6">
        <v>40446.636388888888</v>
      </c>
      <c r="Q1555" s="12"/>
      <c r="R1555" s="18" t="s">
        <v>5922</v>
      </c>
      <c r="S1555" s="11" t="s">
        <v>5923</v>
      </c>
      <c r="T1555" s="12"/>
      <c r="U1555" s="10" t="str">
        <f>HYPERLINK("https://pbs.twimg.com/profile_images/988852544456806400/K94efQB7.jpg","View")</f>
        <v>View</v>
      </c>
    </row>
    <row r="1556" spans="1:21" ht="40.799999999999997">
      <c r="A1556" s="6">
        <v>43426.884664351848</v>
      </c>
      <c r="B1556" s="7" t="str">
        <f>HYPERLINK("https://twitter.com/josele_em","@josele_em")</f>
        <v>@josele_em</v>
      </c>
      <c r="C1556" s="8" t="s">
        <v>5924</v>
      </c>
      <c r="D1556" s="9" t="s">
        <v>5925</v>
      </c>
      <c r="E1556" s="10" t="str">
        <f>HYPERLINK("https://twitter.com/josele_em/status/1065699919229521922","1065699919229521922")</f>
        <v>1065699919229521922</v>
      </c>
      <c r="F1556" s="12"/>
      <c r="G1556" s="12"/>
      <c r="H1556" s="12"/>
      <c r="I1556" s="13">
        <v>0</v>
      </c>
      <c r="J1556" s="13">
        <v>0</v>
      </c>
      <c r="K1556" s="14" t="str">
        <f>HYPERLINK("http://twitter.com/download/android","Twitter for Android")</f>
        <v>Twitter for Android</v>
      </c>
      <c r="L1556" s="13">
        <v>172</v>
      </c>
      <c r="M1556" s="13">
        <v>204</v>
      </c>
      <c r="N1556" s="13">
        <v>3</v>
      </c>
      <c r="O1556" s="15"/>
      <c r="P1556" s="6">
        <v>41203.504664351851</v>
      </c>
      <c r="Q1556" s="17" t="s">
        <v>876</v>
      </c>
      <c r="R1556" s="18" t="s">
        <v>5926</v>
      </c>
      <c r="S1556" s="12"/>
      <c r="T1556" s="12"/>
      <c r="U1556" s="10" t="str">
        <f>HYPERLINK("https://pbs.twimg.com/profile_images/895258754681364480/y8ytkq1_.jpg","View")</f>
        <v>View</v>
      </c>
    </row>
    <row r="1557" spans="1:21" ht="30.6">
      <c r="A1557" s="6">
        <v>43426.884363425925</v>
      </c>
      <c r="B1557" s="7" t="str">
        <f>HYPERLINK("https://twitter.com/Lanzarote6","@Lanzarote6")</f>
        <v>@Lanzarote6</v>
      </c>
      <c r="C1557" s="8" t="s">
        <v>5927</v>
      </c>
      <c r="D1557" s="9" t="s">
        <v>5073</v>
      </c>
      <c r="E1557" s="10" t="str">
        <f>HYPERLINK("https://twitter.com/Lanzarote6/status/1065699810395783169","1065699810395783169")</f>
        <v>1065699810395783169</v>
      </c>
      <c r="F1557" s="11" t="s">
        <v>607</v>
      </c>
      <c r="G1557" s="12"/>
      <c r="H1557" s="12"/>
      <c r="I1557" s="13">
        <v>0</v>
      </c>
      <c r="J1557" s="13">
        <v>0</v>
      </c>
      <c r="K1557" s="14" t="str">
        <f>HYPERLINK("http://twitter.com","Twitter Web Client")</f>
        <v>Twitter Web Client</v>
      </c>
      <c r="L1557" s="13">
        <v>1717</v>
      </c>
      <c r="M1557" s="13">
        <v>1986</v>
      </c>
      <c r="N1557" s="13">
        <v>66</v>
      </c>
      <c r="O1557" s="15"/>
      <c r="P1557" s="6">
        <v>41110.588761574072</v>
      </c>
      <c r="Q1557" s="17" t="s">
        <v>28</v>
      </c>
      <c r="R1557" s="18" t="s">
        <v>5928</v>
      </c>
      <c r="S1557" s="12"/>
      <c r="T1557" s="12"/>
      <c r="U1557" s="10" t="str">
        <f>HYPERLINK("https://pbs.twimg.com/profile_images/2444742688/1drmyb1t4lr2kitejfxo.jpeg","View")</f>
        <v>View</v>
      </c>
    </row>
    <row r="1558" spans="1:21" ht="30.6">
      <c r="A1558" s="6">
        <v>43426.884351851855</v>
      </c>
      <c r="B1558" s="7" t="str">
        <f>HYPERLINK("https://twitter.com/pallaron12","@pallaron12")</f>
        <v>@pallaron12</v>
      </c>
      <c r="C1558" s="8" t="s">
        <v>2284</v>
      </c>
      <c r="D1558" s="9" t="s">
        <v>5929</v>
      </c>
      <c r="E1558" s="10" t="str">
        <f>HYPERLINK("https://twitter.com/pallaron12/status/1065699808176934913","1065699808176934913")</f>
        <v>1065699808176934913</v>
      </c>
      <c r="F1558" s="11" t="s">
        <v>5930</v>
      </c>
      <c r="G1558" s="12"/>
      <c r="H1558" s="12"/>
      <c r="I1558" s="13">
        <v>1</v>
      </c>
      <c r="J1558" s="13">
        <v>1</v>
      </c>
      <c r="K1558" s="14" t="str">
        <f t="shared" ref="K1558:K1559" si="246">HYPERLINK("http://twitter.com/download/android","Twitter for Android")</f>
        <v>Twitter for Android</v>
      </c>
      <c r="L1558" s="13">
        <v>1412</v>
      </c>
      <c r="M1558" s="13">
        <v>501</v>
      </c>
      <c r="N1558" s="13">
        <v>8</v>
      </c>
      <c r="O1558" s="15"/>
      <c r="P1558" s="6">
        <v>41854.66134259259</v>
      </c>
      <c r="Q1558" s="17" t="s">
        <v>2285</v>
      </c>
      <c r="R1558" s="18" t="s">
        <v>2286</v>
      </c>
      <c r="S1558" s="12"/>
      <c r="T1558" s="12"/>
      <c r="U1558" s="10" t="str">
        <f>HYPERLINK("https://pbs.twimg.com/profile_images/1064713832633896961/NkwZ7D9D.jpg","View")</f>
        <v>View</v>
      </c>
    </row>
    <row r="1559" spans="1:21" ht="20.399999999999999">
      <c r="A1559" s="6">
        <v>43426.884305555555</v>
      </c>
      <c r="B1559" s="7" t="str">
        <f>HYPERLINK("https://twitter.com/DPrietot88","@DPrietot88")</f>
        <v>@DPrietot88</v>
      </c>
      <c r="C1559" s="8" t="s">
        <v>3454</v>
      </c>
      <c r="D1559" s="9" t="s">
        <v>5073</v>
      </c>
      <c r="E1559" s="10" t="str">
        <f>HYPERLINK("https://twitter.com/DPrietot88/status/1065699790741213187","1065699790741213187")</f>
        <v>1065699790741213187</v>
      </c>
      <c r="F1559" s="11" t="s">
        <v>607</v>
      </c>
      <c r="G1559" s="12"/>
      <c r="H1559" s="12"/>
      <c r="I1559" s="13">
        <v>0</v>
      </c>
      <c r="J1559" s="13">
        <v>0</v>
      </c>
      <c r="K1559" s="14" t="str">
        <f t="shared" si="246"/>
        <v>Twitter for Android</v>
      </c>
      <c r="L1559" s="13">
        <v>534</v>
      </c>
      <c r="M1559" s="13">
        <v>898</v>
      </c>
      <c r="N1559" s="13">
        <v>31</v>
      </c>
      <c r="O1559" s="15"/>
      <c r="P1559" s="6">
        <v>41068.681504629625</v>
      </c>
      <c r="Q1559" s="17" t="s">
        <v>72</v>
      </c>
      <c r="R1559" s="18" t="s">
        <v>3455</v>
      </c>
      <c r="S1559" s="12"/>
      <c r="T1559" s="12"/>
      <c r="U1559" s="10" t="str">
        <f>HYPERLINK("https://pbs.twimg.com/profile_images/378800000374051619/60a6116d92782e51f2d889c3cae17d2f.jpeg","View")</f>
        <v>View</v>
      </c>
    </row>
    <row r="1560" spans="1:21" ht="20.399999999999999">
      <c r="A1560" s="6">
        <v>43426.884120370371</v>
      </c>
      <c r="B1560" s="7" t="str">
        <f>HYPERLINK("https://twitter.com/leonaudiolibros","@leonaudiolibros")</f>
        <v>@leonaudiolibros</v>
      </c>
      <c r="C1560" s="8" t="s">
        <v>5931</v>
      </c>
      <c r="D1560" s="9" t="s">
        <v>2837</v>
      </c>
      <c r="E1560" s="10" t="str">
        <f>HYPERLINK("https://twitter.com/leonaudiolibros/status/1065699721920954368","1065699721920954368")</f>
        <v>1065699721920954368</v>
      </c>
      <c r="F1560" s="11" t="s">
        <v>2838</v>
      </c>
      <c r="G1560" s="12"/>
      <c r="H1560" s="12"/>
      <c r="I1560" s="13">
        <v>0</v>
      </c>
      <c r="J1560" s="13">
        <v>0</v>
      </c>
      <c r="K1560" s="14" t="str">
        <f>HYPERLINK("https://www.google.com/","Google")</f>
        <v>Google</v>
      </c>
      <c r="L1560" s="13">
        <v>18</v>
      </c>
      <c r="M1560" s="13">
        <v>29</v>
      </c>
      <c r="N1560" s="13">
        <v>1</v>
      </c>
      <c r="O1560" s="15"/>
      <c r="P1560" s="6">
        <v>41617.643483796295</v>
      </c>
      <c r="Q1560" s="17" t="s">
        <v>436</v>
      </c>
      <c r="R1560" s="19"/>
      <c r="S1560" s="11" t="s">
        <v>5932</v>
      </c>
      <c r="T1560" s="12"/>
      <c r="U1560" s="10" t="str">
        <f>HYPERLINK("https://pbs.twimg.com/profile_images/378800000850565536/f4b9da12b4aabd77c4c2a501ad26bf8d.jpeg","View")</f>
        <v>View</v>
      </c>
    </row>
    <row r="1561" spans="1:21" ht="20.399999999999999">
      <c r="A1561" s="6">
        <v>43426.88380787037</v>
      </c>
      <c r="B1561" s="7" t="str">
        <f>HYPERLINK("https://twitter.com/LuisLeonardoV","@LuisLeonardoV")</f>
        <v>@LuisLeonardoV</v>
      </c>
      <c r="C1561" s="8" t="s">
        <v>1191</v>
      </c>
      <c r="D1561" s="9" t="s">
        <v>5933</v>
      </c>
      <c r="E1561" s="10" t="str">
        <f>HYPERLINK("https://twitter.com/LuisLeonardoV/status/1065699611451539456","1065699611451539456")</f>
        <v>1065699611451539456</v>
      </c>
      <c r="F1561" s="11" t="s">
        <v>5934</v>
      </c>
      <c r="G1561" s="12"/>
      <c r="H1561" s="12"/>
      <c r="I1561" s="13">
        <v>0</v>
      </c>
      <c r="J1561" s="13">
        <v>0</v>
      </c>
      <c r="K1561" s="14" t="str">
        <f>HYPERLINK("http://www.facebook.com/twitter","Facebook")</f>
        <v>Facebook</v>
      </c>
      <c r="L1561" s="13">
        <v>87</v>
      </c>
      <c r="M1561" s="13">
        <v>574</v>
      </c>
      <c r="N1561" s="13">
        <v>0</v>
      </c>
      <c r="O1561" s="15"/>
      <c r="P1561" s="6">
        <v>40799.628391203703</v>
      </c>
      <c r="Q1561" s="17" t="s">
        <v>1194</v>
      </c>
      <c r="R1561" s="18" t="s">
        <v>1195</v>
      </c>
      <c r="S1561" s="12"/>
      <c r="T1561" s="12"/>
      <c r="U1561" s="10" t="str">
        <f>HYPERLINK("https://pbs.twimg.com/profile_images/953603125646188544/vVgwuEZ6.jpg","View")</f>
        <v>View</v>
      </c>
    </row>
    <row r="1562" spans="1:21" ht="40.799999999999997">
      <c r="A1562" s="6">
        <v>43426.883287037039</v>
      </c>
      <c r="B1562" s="7" t="str">
        <f>HYPERLINK("https://twitter.com/compromtido22","@compromtido22")</f>
        <v>@compromtido22</v>
      </c>
      <c r="C1562" s="8" t="s">
        <v>5834</v>
      </c>
      <c r="D1562" s="9" t="s">
        <v>5935</v>
      </c>
      <c r="E1562" s="10" t="str">
        <f>HYPERLINK("https://twitter.com/compromtido22/status/1065699419809554432","1065699419809554432")</f>
        <v>1065699419809554432</v>
      </c>
      <c r="F1562" s="12"/>
      <c r="G1562" s="12"/>
      <c r="H1562" s="12"/>
      <c r="I1562" s="13">
        <v>0</v>
      </c>
      <c r="J1562" s="13">
        <v>0</v>
      </c>
      <c r="K1562" s="14" t="str">
        <f t="shared" ref="K1562:K1563" si="247">HYPERLINK("http://twitter.com/download/android","Twitter for Android")</f>
        <v>Twitter for Android</v>
      </c>
      <c r="L1562" s="13">
        <v>962</v>
      </c>
      <c r="M1562" s="13">
        <v>859</v>
      </c>
      <c r="N1562" s="13">
        <v>15</v>
      </c>
      <c r="O1562" s="15"/>
      <c r="P1562" s="6">
        <v>42411.832291666666</v>
      </c>
      <c r="Q1562" s="12"/>
      <c r="R1562" s="18" t="s">
        <v>5836</v>
      </c>
      <c r="S1562" s="12"/>
      <c r="T1562" s="12"/>
      <c r="U1562" s="10" t="str">
        <f>HYPERLINK("https://pbs.twimg.com/profile_images/1062806370267860993/RfSkyzB-.jpg","View")</f>
        <v>View</v>
      </c>
    </row>
    <row r="1563" spans="1:21" ht="40.799999999999997">
      <c r="A1563" s="6">
        <v>43426.883217592593</v>
      </c>
      <c r="B1563" s="7" t="str">
        <f>HYPERLINK("https://twitter.com/unmirador","@unmirador")</f>
        <v>@unmirador</v>
      </c>
      <c r="C1563" s="8" t="s">
        <v>5936</v>
      </c>
      <c r="D1563" s="9" t="s">
        <v>5937</v>
      </c>
      <c r="E1563" s="10" t="str">
        <f>HYPERLINK("https://twitter.com/unmirador/status/1065699395113496576","1065699395113496576")</f>
        <v>1065699395113496576</v>
      </c>
      <c r="F1563" s="12"/>
      <c r="G1563" s="12"/>
      <c r="H1563" s="12"/>
      <c r="I1563" s="13">
        <v>0</v>
      </c>
      <c r="J1563" s="13">
        <v>0</v>
      </c>
      <c r="K1563" s="14" t="str">
        <f t="shared" si="247"/>
        <v>Twitter for Android</v>
      </c>
      <c r="L1563" s="13">
        <v>2968</v>
      </c>
      <c r="M1563" s="13">
        <v>1964</v>
      </c>
      <c r="N1563" s="13">
        <v>175</v>
      </c>
      <c r="O1563" s="15"/>
      <c r="P1563" s="6">
        <v>39987.515694444446</v>
      </c>
      <c r="Q1563" s="17" t="s">
        <v>5939</v>
      </c>
      <c r="R1563" s="18" t="s">
        <v>5940</v>
      </c>
      <c r="S1563" s="11" t="s">
        <v>5941</v>
      </c>
      <c r="T1563" s="12"/>
      <c r="U1563" s="10" t="str">
        <f>HYPERLINK("https://pbs.twimg.com/profile_images/378800000097013385/518f18deeb0469371e2909b6972b746b.jpeg","View")</f>
        <v>View</v>
      </c>
    </row>
    <row r="1564" spans="1:21" ht="30.6">
      <c r="A1564" s="6">
        <v>43426.883136574077</v>
      </c>
      <c r="B1564" s="7" t="str">
        <f>HYPERLINK("https://twitter.com/gemma_robles","@gemma_robles")</f>
        <v>@gemma_robles</v>
      </c>
      <c r="C1564" s="8" t="s">
        <v>5942</v>
      </c>
      <c r="D1564" s="9" t="s">
        <v>5943</v>
      </c>
      <c r="E1564" s="10" t="str">
        <f>HYPERLINK("https://twitter.com/gemma_robles/status/1065699368299364354","1065699368299364354")</f>
        <v>1065699368299364354</v>
      </c>
      <c r="F1564" s="11" t="s">
        <v>1820</v>
      </c>
      <c r="G1564" s="12"/>
      <c r="H1564" s="12"/>
      <c r="I1564" s="13">
        <v>2</v>
      </c>
      <c r="J1564" s="13">
        <v>1</v>
      </c>
      <c r="K1564" s="14" t="str">
        <f>HYPERLINK("http://twitter.com/download/iphone","Twitter for iPhone")</f>
        <v>Twitter for iPhone</v>
      </c>
      <c r="L1564" s="13">
        <v>4125</v>
      </c>
      <c r="M1564" s="13">
        <v>942</v>
      </c>
      <c r="N1564" s="13">
        <v>165</v>
      </c>
      <c r="O1564" s="15"/>
      <c r="P1564" s="6">
        <v>40621.524340277778</v>
      </c>
      <c r="Q1564" s="17" t="s">
        <v>72</v>
      </c>
      <c r="R1564" s="18" t="s">
        <v>5945</v>
      </c>
      <c r="S1564" s="11" t="s">
        <v>5946</v>
      </c>
      <c r="T1564" s="12"/>
      <c r="U1564" s="10" t="str">
        <f>HYPERLINK("https://pbs.twimg.com/profile_images/1060106525522444289/skXl49N_.jpg","View")</f>
        <v>View</v>
      </c>
    </row>
    <row r="1565" spans="1:21" ht="40.799999999999997">
      <c r="A1565" s="6">
        <v>43426.88244212963</v>
      </c>
      <c r="B1565" s="7" t="str">
        <f>HYPERLINK("https://twitter.com/BISQUERT1982","@BISQUERT1982")</f>
        <v>@BISQUERT1982</v>
      </c>
      <c r="C1565" s="8" t="s">
        <v>5947</v>
      </c>
      <c r="D1565" s="9" t="s">
        <v>5948</v>
      </c>
      <c r="E1565" s="10" t="str">
        <f>HYPERLINK("https://twitter.com/BISQUERT1982/status/1065699115361816578","1065699115361816578")</f>
        <v>1065699115361816578</v>
      </c>
      <c r="F1565" s="11" t="s">
        <v>556</v>
      </c>
      <c r="G1565" s="12"/>
      <c r="H1565" s="12"/>
      <c r="I1565" s="13">
        <v>0</v>
      </c>
      <c r="J1565" s="13">
        <v>1</v>
      </c>
      <c r="K1565" s="14" t="str">
        <f t="shared" ref="K1565:K1566" si="248">HYPERLINK("http://twitter.com","Twitter Web Client")</f>
        <v>Twitter Web Client</v>
      </c>
      <c r="L1565" s="13">
        <v>529</v>
      </c>
      <c r="M1565" s="13">
        <v>2938</v>
      </c>
      <c r="N1565" s="13">
        <v>10</v>
      </c>
      <c r="O1565" s="15"/>
      <c r="P1565" s="6">
        <v>40406.449062500003</v>
      </c>
      <c r="Q1565" s="17" t="s">
        <v>5949</v>
      </c>
      <c r="R1565" s="18" t="s">
        <v>5950</v>
      </c>
      <c r="S1565" s="12"/>
      <c r="T1565" s="12"/>
      <c r="U1565" s="10" t="str">
        <f>HYPERLINK("https://pbs.twimg.com/profile_images/1046365263191568384/FdO5I-JL.jpg","View")</f>
        <v>View</v>
      </c>
    </row>
    <row r="1566" spans="1:21" ht="40.799999999999997">
      <c r="A1566" s="6">
        <v>43426.88244212963</v>
      </c>
      <c r="B1566" s="7" t="str">
        <f>HYPERLINK("https://twitter.com/Albanah","@Albanah")</f>
        <v>@Albanah</v>
      </c>
      <c r="C1566" s="8" t="s">
        <v>5951</v>
      </c>
      <c r="D1566" s="9" t="s">
        <v>5952</v>
      </c>
      <c r="E1566" s="10" t="str">
        <f>HYPERLINK("https://twitter.com/Albanah/status/1065699113751257089","1065699113751257089")</f>
        <v>1065699113751257089</v>
      </c>
      <c r="F1566" s="11" t="s">
        <v>391</v>
      </c>
      <c r="G1566" s="12"/>
      <c r="H1566" s="12"/>
      <c r="I1566" s="13">
        <v>0</v>
      </c>
      <c r="J1566" s="13">
        <v>0</v>
      </c>
      <c r="K1566" s="14" t="str">
        <f t="shared" si="248"/>
        <v>Twitter Web Client</v>
      </c>
      <c r="L1566" s="13">
        <v>2755</v>
      </c>
      <c r="M1566" s="13">
        <v>2916</v>
      </c>
      <c r="N1566" s="13">
        <v>74</v>
      </c>
      <c r="O1566" s="15"/>
      <c r="P1566" s="6">
        <v>40128.053425925929</v>
      </c>
      <c r="Q1566" s="17" t="s">
        <v>5954</v>
      </c>
      <c r="R1566" s="18" t="s">
        <v>5955</v>
      </c>
      <c r="S1566" s="12"/>
      <c r="T1566" s="12"/>
      <c r="U1566" s="10" t="str">
        <f>HYPERLINK("https://pbs.twimg.com/profile_images/429116719836041216/EDVNOWgw.jpeg","View")</f>
        <v>View</v>
      </c>
    </row>
    <row r="1567" spans="1:21" ht="51">
      <c r="A1567" s="6">
        <v>43426.882314814815</v>
      </c>
      <c r="B1567" s="7" t="str">
        <f>HYPERLINK("https://twitter.com/Cobagrande","@Cobagrande")</f>
        <v>@Cobagrande</v>
      </c>
      <c r="C1567" s="8" t="s">
        <v>5956</v>
      </c>
      <c r="D1567" s="9" t="s">
        <v>5957</v>
      </c>
      <c r="E1567" s="10" t="str">
        <f>HYPERLINK("https://twitter.com/Cobagrande/status/1065699067303526400","1065699067303526400")</f>
        <v>1065699067303526400</v>
      </c>
      <c r="F1567" s="11" t="s">
        <v>5958</v>
      </c>
      <c r="G1567" s="12"/>
      <c r="H1567" s="12"/>
      <c r="I1567" s="13">
        <v>2</v>
      </c>
      <c r="J1567" s="13">
        <v>2</v>
      </c>
      <c r="K1567" s="14" t="str">
        <f t="shared" ref="K1567:K1569" si="249">HYPERLINK("http://twitter.com/download/android","Twitter for Android")</f>
        <v>Twitter for Android</v>
      </c>
      <c r="L1567" s="13">
        <v>3253</v>
      </c>
      <c r="M1567" s="13">
        <v>3305</v>
      </c>
      <c r="N1567" s="13">
        <v>3</v>
      </c>
      <c r="O1567" s="15"/>
      <c r="P1567" s="6">
        <v>41995.812199074076</v>
      </c>
      <c r="Q1567" s="17" t="s">
        <v>28</v>
      </c>
      <c r="R1567" s="18" t="s">
        <v>5959</v>
      </c>
      <c r="S1567" s="12"/>
      <c r="T1567" s="12"/>
      <c r="U1567" s="10" t="str">
        <f>HYPERLINK("https://pbs.twimg.com/profile_images/975671155657977856/unOfzxmi.jpg","View")</f>
        <v>View</v>
      </c>
    </row>
    <row r="1568" spans="1:21" ht="30.6">
      <c r="A1568" s="6">
        <v>43426.88217592593</v>
      </c>
      <c r="B1568" s="7" t="str">
        <f>HYPERLINK("https://twitter.com/tintorro61","@tintorro61")</f>
        <v>@tintorro61</v>
      </c>
      <c r="C1568" s="8" t="s">
        <v>5960</v>
      </c>
      <c r="D1568" s="9" t="s">
        <v>5961</v>
      </c>
      <c r="E1568" s="10" t="str">
        <f>HYPERLINK("https://twitter.com/tintorro61/status/1065699016908988416","1065699016908988416")</f>
        <v>1065699016908988416</v>
      </c>
      <c r="F1568" s="12"/>
      <c r="G1568" s="12"/>
      <c r="H1568" s="12"/>
      <c r="I1568" s="13">
        <v>0</v>
      </c>
      <c r="J1568" s="13">
        <v>0</v>
      </c>
      <c r="K1568" s="14" t="str">
        <f t="shared" si="249"/>
        <v>Twitter for Android</v>
      </c>
      <c r="L1568" s="13">
        <v>10</v>
      </c>
      <c r="M1568" s="13">
        <v>85</v>
      </c>
      <c r="N1568" s="13">
        <v>0</v>
      </c>
      <c r="O1568" s="15"/>
      <c r="P1568" s="6">
        <v>40784.561712962961</v>
      </c>
      <c r="Q1568" s="17" t="s">
        <v>2862</v>
      </c>
      <c r="R1568" s="19"/>
      <c r="S1568" s="12"/>
      <c r="T1568" s="12"/>
      <c r="U1568" s="10" t="str">
        <f>HYPERLINK("https://pbs.twimg.com/profile_images/635157852957601792/SX6Uax4S.jpg","View")</f>
        <v>View</v>
      </c>
    </row>
    <row r="1569" spans="1:21" ht="51">
      <c r="A1569" s="6">
        <v>43426.882152777776</v>
      </c>
      <c r="B1569" s="7" t="str">
        <f>HYPERLINK("https://twitter.com/marinapolo7","@marinapolo7")</f>
        <v>@marinapolo7</v>
      </c>
      <c r="C1569" s="8" t="s">
        <v>5962</v>
      </c>
      <c r="D1569" s="9" t="s">
        <v>5963</v>
      </c>
      <c r="E1569" s="10" t="str">
        <f>HYPERLINK("https://twitter.com/marinapolo7/status/1065699009602469888","1065699009602469888")</f>
        <v>1065699009602469888</v>
      </c>
      <c r="F1569" s="12"/>
      <c r="G1569" s="12"/>
      <c r="H1569" s="12"/>
      <c r="I1569" s="13">
        <v>0</v>
      </c>
      <c r="J1569" s="13">
        <v>0</v>
      </c>
      <c r="K1569" s="14" t="str">
        <f t="shared" si="249"/>
        <v>Twitter for Android</v>
      </c>
      <c r="L1569" s="13">
        <v>722</v>
      </c>
      <c r="M1569" s="13">
        <v>392</v>
      </c>
      <c r="N1569" s="13">
        <v>6</v>
      </c>
      <c r="O1569" s="15"/>
      <c r="P1569" s="6">
        <v>41074.694432870368</v>
      </c>
      <c r="Q1569" s="17" t="s">
        <v>5964</v>
      </c>
      <c r="R1569" s="18" t="s">
        <v>5965</v>
      </c>
      <c r="S1569" s="12"/>
      <c r="T1569" s="12"/>
      <c r="U1569" s="10" t="str">
        <f>HYPERLINK("https://pbs.twimg.com/profile_images/759722440737959937/-HnPwXd6.jpg","View")</f>
        <v>View</v>
      </c>
    </row>
    <row r="1570" spans="1:21" ht="20.399999999999999">
      <c r="A1570" s="6">
        <v>43426.881435185191</v>
      </c>
      <c r="B1570" s="7" t="str">
        <f>HYPERLINK("https://twitter.com/AlienteleSUR","@AlienteleSUR")</f>
        <v>@AlienteleSUR</v>
      </c>
      <c r="C1570" s="8" t="s">
        <v>3943</v>
      </c>
      <c r="D1570" s="9" t="s">
        <v>5966</v>
      </c>
      <c r="E1570" s="10" t="str">
        <f>HYPERLINK("https://twitter.com/AlienteleSUR/status/1065698752042799104","1065698752042799104")</f>
        <v>1065698752042799104</v>
      </c>
      <c r="F1570" s="11" t="s">
        <v>5967</v>
      </c>
      <c r="G1570" s="12"/>
      <c r="H1570" s="12"/>
      <c r="I1570" s="13">
        <v>0</v>
      </c>
      <c r="J1570" s="13">
        <v>0</v>
      </c>
      <c r="K1570" s="14" t="str">
        <f>HYPERLINK("http://multimedia.telesurtv.net","Multimedia teleSUR")</f>
        <v>Multimedia teleSUR</v>
      </c>
      <c r="L1570" s="13">
        <v>695</v>
      </c>
      <c r="M1570" s="13">
        <v>174</v>
      </c>
      <c r="N1570" s="13">
        <v>5</v>
      </c>
      <c r="O1570" s="15"/>
      <c r="P1570" s="6">
        <v>41859.16547453704</v>
      </c>
      <c r="Q1570" s="17" t="s">
        <v>40</v>
      </c>
      <c r="R1570" s="19"/>
      <c r="S1570" s="12"/>
      <c r="T1570" s="12"/>
      <c r="U1570" s="10" t="str">
        <f>HYPERLINK("https://pbs.twimg.com/profile_images/1056549220155617280/ow5-9Oik.jpg","View")</f>
        <v>View</v>
      </c>
    </row>
    <row r="1571" spans="1:21" ht="40.799999999999997">
      <c r="A1571" s="6">
        <v>43426.880474537036</v>
      </c>
      <c r="B1571" s="7" t="str">
        <f>HYPERLINK("https://twitter.com/Manu_manu23","@Manu_manu23")</f>
        <v>@Manu_manu23</v>
      </c>
      <c r="C1571" s="8" t="s">
        <v>5968</v>
      </c>
      <c r="D1571" s="9" t="s">
        <v>5969</v>
      </c>
      <c r="E1571" s="10" t="str">
        <f>HYPERLINK("https://twitter.com/Manu_manu23/status/1065698403902988288","1065698403902988288")</f>
        <v>1065698403902988288</v>
      </c>
      <c r="F1571" s="12"/>
      <c r="G1571" s="12"/>
      <c r="H1571" s="12"/>
      <c r="I1571" s="13">
        <v>0</v>
      </c>
      <c r="J1571" s="13">
        <v>0</v>
      </c>
      <c r="K1571" s="14" t="str">
        <f>HYPERLINK("http://www.tweetcaster.com","TweetCaster for Android")</f>
        <v>TweetCaster for Android</v>
      </c>
      <c r="L1571" s="13">
        <v>331</v>
      </c>
      <c r="M1571" s="13">
        <v>706</v>
      </c>
      <c r="N1571" s="13">
        <v>8</v>
      </c>
      <c r="O1571" s="15"/>
      <c r="P1571" s="6">
        <v>40761.680567129632</v>
      </c>
      <c r="Q1571" s="12"/>
      <c r="R1571" s="18" t="s">
        <v>5970</v>
      </c>
      <c r="S1571" s="11" t="s">
        <v>5971</v>
      </c>
      <c r="T1571" s="12"/>
      <c r="U1571" s="10" t="str">
        <f>HYPERLINK("https://pbs.twimg.com/profile_images/865518372674347008/dXJ3kSwm.jpg","View")</f>
        <v>View</v>
      </c>
    </row>
    <row r="1572" spans="1:21" ht="30.6">
      <c r="A1572" s="6">
        <v>43426.880439814813</v>
      </c>
      <c r="B1572" s="7" t="str">
        <f>HYPERLINK("https://twitter.com/karrasco13","@karrasco13")</f>
        <v>@karrasco13</v>
      </c>
      <c r="C1572" s="8" t="s">
        <v>5972</v>
      </c>
      <c r="D1572" s="9" t="s">
        <v>5973</v>
      </c>
      <c r="E1572" s="10" t="str">
        <f>HYPERLINK("https://twitter.com/karrasco13/status/1065698390305054720","1065698390305054720")</f>
        <v>1065698390305054720</v>
      </c>
      <c r="F1572" s="12"/>
      <c r="G1572" s="12"/>
      <c r="H1572" s="12"/>
      <c r="I1572" s="13">
        <v>0</v>
      </c>
      <c r="J1572" s="13">
        <v>0</v>
      </c>
      <c r="K1572" s="14" t="str">
        <f>HYPERLINK("http://twitter.com/download/android","Twitter for Android")</f>
        <v>Twitter for Android</v>
      </c>
      <c r="L1572" s="13">
        <v>36</v>
      </c>
      <c r="M1572" s="13">
        <v>46</v>
      </c>
      <c r="N1572" s="13">
        <v>0</v>
      </c>
      <c r="O1572" s="15"/>
      <c r="P1572" s="6">
        <v>41172.477870370371</v>
      </c>
      <c r="Q1572" s="17" t="s">
        <v>5974</v>
      </c>
      <c r="R1572" s="18" t="s">
        <v>5975</v>
      </c>
      <c r="S1572" s="12"/>
      <c r="T1572" s="12"/>
      <c r="U1572" s="10" t="str">
        <f>HYPERLINK("https://pbs.twimg.com/profile_images/553199403482497024/mrEXaXsV.jpeg","View")</f>
        <v>View</v>
      </c>
    </row>
    <row r="1573" spans="1:21" ht="30.6">
      <c r="A1573" s="6">
        <v>43426.880428240736</v>
      </c>
      <c r="B1573" s="7" t="str">
        <f>HYPERLINK("https://twitter.com/McGrego79","@McGrego79")</f>
        <v>@McGrego79</v>
      </c>
      <c r="C1573" s="8" t="s">
        <v>5976</v>
      </c>
      <c r="D1573" s="9" t="s">
        <v>5977</v>
      </c>
      <c r="E1573" s="10" t="str">
        <f>HYPERLINK("https://twitter.com/McGrego79/status/1065698384315629570","1065698384315629570")</f>
        <v>1065698384315629570</v>
      </c>
      <c r="F1573" s="12"/>
      <c r="G1573" s="12"/>
      <c r="H1573" s="12"/>
      <c r="I1573" s="13">
        <v>0</v>
      </c>
      <c r="J1573" s="13">
        <v>0</v>
      </c>
      <c r="K1573" s="14" t="str">
        <f>HYPERLINK("http://twitter.com/download/iphone","Twitter for iPhone")</f>
        <v>Twitter for iPhone</v>
      </c>
      <c r="L1573" s="13">
        <v>70</v>
      </c>
      <c r="M1573" s="13">
        <v>195</v>
      </c>
      <c r="N1573" s="13">
        <v>1</v>
      </c>
      <c r="O1573" s="15"/>
      <c r="P1573" s="6">
        <v>40563.721967592595</v>
      </c>
      <c r="Q1573" s="17" t="s">
        <v>191</v>
      </c>
      <c r="R1573" s="18" t="s">
        <v>5978</v>
      </c>
      <c r="S1573" s="11" t="s">
        <v>5979</v>
      </c>
      <c r="T1573" s="12"/>
      <c r="U1573" s="10" t="str">
        <f>HYPERLINK("https://pbs.twimg.com/profile_images/972938976171560962/qvWM_-BA.jpg","View")</f>
        <v>View</v>
      </c>
    </row>
    <row r="1574" spans="1:21" ht="71.400000000000006">
      <c r="A1574" s="6">
        <v>43426.880243055552</v>
      </c>
      <c r="B1574" s="7" t="str">
        <f>HYPERLINK("https://twitter.com/CuetoMartos","@CuetoMartos")</f>
        <v>@CuetoMartos</v>
      </c>
      <c r="C1574" s="8" t="s">
        <v>5980</v>
      </c>
      <c r="D1574" s="9" t="s">
        <v>5981</v>
      </c>
      <c r="E1574" s="10" t="str">
        <f>HYPERLINK("https://twitter.com/CuetoMartos/status/1065698318171410439","1065698318171410439")</f>
        <v>1065698318171410439</v>
      </c>
      <c r="F1574" s="12"/>
      <c r="G1574" s="12"/>
      <c r="H1574" s="12"/>
      <c r="I1574" s="13">
        <v>2</v>
      </c>
      <c r="J1574" s="13">
        <v>2</v>
      </c>
      <c r="K1574" s="14" t="str">
        <f>HYPERLINK("https://mobile.twitter.com","Twitter Lite")</f>
        <v>Twitter Lite</v>
      </c>
      <c r="L1574" s="13">
        <v>204</v>
      </c>
      <c r="M1574" s="13">
        <v>313</v>
      </c>
      <c r="N1574" s="13">
        <v>4</v>
      </c>
      <c r="O1574" s="15"/>
      <c r="P1574" s="6">
        <v>43001.80878472222</v>
      </c>
      <c r="Q1574" s="12"/>
      <c r="R1574" s="18" t="s">
        <v>5982</v>
      </c>
      <c r="S1574" s="12"/>
      <c r="T1574" s="12"/>
      <c r="U1574" s="10" t="str">
        <f>HYPERLINK("https://pbs.twimg.com/profile_images/975869206884503552/4GDQEJEr.jpg","View")</f>
        <v>View</v>
      </c>
    </row>
    <row r="1575" spans="1:21" ht="20.399999999999999">
      <c r="A1575" s="6">
        <v>43426.879537037035</v>
      </c>
      <c r="B1575" s="7" t="str">
        <f>HYPERLINK("https://twitter.com/hector_pablo_","@hector_pablo_")</f>
        <v>@hector_pablo_</v>
      </c>
      <c r="C1575" s="8" t="s">
        <v>5983</v>
      </c>
      <c r="D1575" s="9" t="s">
        <v>5984</v>
      </c>
      <c r="E1575" s="10" t="str">
        <f>HYPERLINK("https://twitter.com/hector_pablo_/status/1065698064508338177","1065698064508338177")</f>
        <v>1065698064508338177</v>
      </c>
      <c r="F1575" s="12"/>
      <c r="G1575" s="12"/>
      <c r="H1575" s="12"/>
      <c r="I1575" s="13">
        <v>2</v>
      </c>
      <c r="J1575" s="13">
        <v>6</v>
      </c>
      <c r="K1575" s="14" t="str">
        <f>HYPERLINK("http://twitter.com/download/iphone","Twitter for iPhone")</f>
        <v>Twitter for iPhone</v>
      </c>
      <c r="L1575" s="13">
        <v>2620</v>
      </c>
      <c r="M1575" s="13">
        <v>1239</v>
      </c>
      <c r="N1575" s="13">
        <v>54</v>
      </c>
      <c r="O1575" s="15"/>
      <c r="P1575" s="6">
        <v>40681.549259259264</v>
      </c>
      <c r="Q1575" s="17" t="s">
        <v>5985</v>
      </c>
      <c r="R1575" s="18" t="s">
        <v>5986</v>
      </c>
      <c r="S1575" s="12"/>
      <c r="T1575" s="12"/>
      <c r="U1575" s="10" t="str">
        <f>HYPERLINK("https://pbs.twimg.com/profile_images/1057741497251102730/E83zKNbw.jpg","View")</f>
        <v>View</v>
      </c>
    </row>
    <row r="1576" spans="1:21" ht="30.6">
      <c r="A1576" s="6">
        <v>43426.879293981481</v>
      </c>
      <c r="B1576" s="7" t="str">
        <f>HYPERLINK("https://twitter.com/sextaNoticias","@sextaNoticias")</f>
        <v>@sextaNoticias</v>
      </c>
      <c r="C1576" s="8" t="s">
        <v>1884</v>
      </c>
      <c r="D1576" s="9" t="s">
        <v>5987</v>
      </c>
      <c r="E1576" s="10" t="str">
        <f>HYPERLINK("https://twitter.com/sextaNoticias/status/1065697973529649152","1065697973529649152")</f>
        <v>1065697973529649152</v>
      </c>
      <c r="F1576" s="11" t="s">
        <v>5988</v>
      </c>
      <c r="G1576" s="12"/>
      <c r="H1576" s="12"/>
      <c r="I1576" s="13">
        <v>3</v>
      </c>
      <c r="J1576" s="13">
        <v>3</v>
      </c>
      <c r="K1576" s="14" t="str">
        <f>HYPERLINK("http://dogtrack.es","DogTrack_Oficial")</f>
        <v>DogTrack_Oficial</v>
      </c>
      <c r="L1576" s="13">
        <v>1108910</v>
      </c>
      <c r="M1576" s="13">
        <v>279</v>
      </c>
      <c r="N1576" s="13">
        <v>7292</v>
      </c>
      <c r="O1576" s="16" t="s">
        <v>26</v>
      </c>
      <c r="P1576" s="6">
        <v>40099.614328703705</v>
      </c>
      <c r="Q1576" s="12"/>
      <c r="R1576" s="18" t="s">
        <v>1887</v>
      </c>
      <c r="S1576" s="11" t="s">
        <v>1888</v>
      </c>
      <c r="T1576" s="12"/>
      <c r="U1576" s="10" t="str">
        <f>HYPERLINK("https://pbs.twimg.com/profile_images/898970208551022592/hh3ITSK-.jpg","View")</f>
        <v>View</v>
      </c>
    </row>
    <row r="1577" spans="1:21" ht="20.399999999999999">
      <c r="A1577" s="6">
        <v>43426.879178240742</v>
      </c>
      <c r="B1577" s="7" t="str">
        <f>HYPERLINK("https://twitter.com/JRodrigo62","@JRodrigo62")</f>
        <v>@JRodrigo62</v>
      </c>
      <c r="C1577" s="8" t="s">
        <v>5989</v>
      </c>
      <c r="D1577" s="9" t="s">
        <v>5990</v>
      </c>
      <c r="E1577" s="10" t="str">
        <f>HYPERLINK("https://twitter.com/JRodrigo62/status/1065697931213328385","1065697931213328385")</f>
        <v>1065697931213328385</v>
      </c>
      <c r="F1577" s="12"/>
      <c r="G1577" s="12"/>
      <c r="H1577" s="12"/>
      <c r="I1577" s="13">
        <v>0</v>
      </c>
      <c r="J1577" s="13">
        <v>0</v>
      </c>
      <c r="K1577" s="14" t="str">
        <f>HYPERLINK("http://twitter.com/download/iphone","Twitter for iPhone")</f>
        <v>Twitter for iPhone</v>
      </c>
      <c r="L1577" s="13">
        <v>71</v>
      </c>
      <c r="M1577" s="13">
        <v>434</v>
      </c>
      <c r="N1577" s="13">
        <v>1</v>
      </c>
      <c r="O1577" s="15"/>
      <c r="P1577" s="6">
        <v>41021.946238425924</v>
      </c>
      <c r="Q1577" s="17" t="s">
        <v>27</v>
      </c>
      <c r="R1577" s="18" t="s">
        <v>5991</v>
      </c>
      <c r="S1577" s="12"/>
      <c r="T1577" s="12"/>
      <c r="U1577" s="10" t="str">
        <f>HYPERLINK("https://pbs.twimg.com/profile_images/2178826989/IMG_0643_2.JPG","View")</f>
        <v>View</v>
      </c>
    </row>
    <row r="1578" spans="1:21" ht="20.399999999999999">
      <c r="A1578" s="6">
        <v>43426.878923611112</v>
      </c>
      <c r="B1578" s="7" t="str">
        <f>HYPERLINK("https://twitter.com/jerenet1","@jerenet1")</f>
        <v>@jerenet1</v>
      </c>
      <c r="C1578" s="8" t="s">
        <v>5992</v>
      </c>
      <c r="D1578" s="9" t="s">
        <v>1156</v>
      </c>
      <c r="E1578" s="10" t="str">
        <f>HYPERLINK("https://twitter.com/jerenet1/status/1065697840402493441","1065697840402493441")</f>
        <v>1065697840402493441</v>
      </c>
      <c r="F1578" s="11" t="s">
        <v>556</v>
      </c>
      <c r="G1578" s="12"/>
      <c r="H1578" s="12"/>
      <c r="I1578" s="13">
        <v>0</v>
      </c>
      <c r="J1578" s="13">
        <v>0</v>
      </c>
      <c r="K1578" s="14" t="str">
        <f>HYPERLINK("http://twitter.com","Twitter Web Client")</f>
        <v>Twitter Web Client</v>
      </c>
      <c r="L1578" s="13">
        <v>189</v>
      </c>
      <c r="M1578" s="13">
        <v>333</v>
      </c>
      <c r="N1578" s="13">
        <v>6</v>
      </c>
      <c r="O1578" s="15"/>
      <c r="P1578" s="6">
        <v>41587.993472222224</v>
      </c>
      <c r="Q1578" s="17" t="s">
        <v>4963</v>
      </c>
      <c r="R1578" s="18" t="s">
        <v>5993</v>
      </c>
      <c r="S1578" s="12"/>
      <c r="T1578" s="12"/>
      <c r="U1578" s="10" t="str">
        <f>HYPERLINK("https://pbs.twimg.com/profile_images/1064631996352212995/4BL9_s2E.jpg","View")</f>
        <v>View</v>
      </c>
    </row>
    <row r="1579" spans="1:21" ht="20.399999999999999">
      <c r="A1579" s="6">
        <v>43426.878101851849</v>
      </c>
      <c r="B1579" s="7" t="str">
        <f t="shared" ref="B1579:B1580" si="250">HYPERLINK("https://twitter.com/teleSUR_Cuba","@teleSUR_Cuba")</f>
        <v>@teleSUR_Cuba</v>
      </c>
      <c r="C1579" s="8" t="s">
        <v>3961</v>
      </c>
      <c r="D1579" s="9" t="s">
        <v>5966</v>
      </c>
      <c r="E1579" s="10" t="str">
        <f>HYPERLINK("https://twitter.com/teleSUR_Cuba/status/1065697542028083200","1065697542028083200")</f>
        <v>1065697542028083200</v>
      </c>
      <c r="F1579" s="11" t="s">
        <v>5967</v>
      </c>
      <c r="G1579" s="12"/>
      <c r="H1579" s="12"/>
      <c r="I1579" s="13">
        <v>0</v>
      </c>
      <c r="J1579" s="13">
        <v>0</v>
      </c>
      <c r="K1579" s="14" t="str">
        <f t="shared" ref="K1579:K1580" si="251">HYPERLINK("http://multimedia.telesurtv.net","Multimedia teleSUR")</f>
        <v>Multimedia teleSUR</v>
      </c>
      <c r="L1579" s="13">
        <v>16686</v>
      </c>
      <c r="M1579" s="13">
        <v>54</v>
      </c>
      <c r="N1579" s="13">
        <v>152</v>
      </c>
      <c r="O1579" s="15"/>
      <c r="P1579" s="6">
        <v>40578.687673611115</v>
      </c>
      <c r="Q1579" s="17" t="s">
        <v>475</v>
      </c>
      <c r="R1579" s="18" t="s">
        <v>3962</v>
      </c>
      <c r="S1579" s="11" t="s">
        <v>1700</v>
      </c>
      <c r="T1579" s="12"/>
      <c r="U1579" s="10" t="str">
        <f t="shared" ref="U1579:U1580" si="252">HYPERLINK("https://pbs.twimg.com/profile_images/378800000735274021/2e9d9b9303bd8f5c5d4c8f3c847e393f.jpeg","View")</f>
        <v>View</v>
      </c>
    </row>
    <row r="1580" spans="1:21" ht="13.2">
      <c r="A1580" s="6">
        <v>43426.87809027778</v>
      </c>
      <c r="B1580" s="7" t="str">
        <f t="shared" si="250"/>
        <v>@teleSUR_Cuba</v>
      </c>
      <c r="C1580" s="8" t="s">
        <v>3961</v>
      </c>
      <c r="D1580" s="9" t="s">
        <v>5994</v>
      </c>
      <c r="E1580" s="10" t="str">
        <f>HYPERLINK("https://twitter.com/teleSUR_Cuba/status/1065697538106449922","1065697538106449922")</f>
        <v>1065697538106449922</v>
      </c>
      <c r="F1580" s="11" t="s">
        <v>5995</v>
      </c>
      <c r="G1580" s="12"/>
      <c r="H1580" s="12"/>
      <c r="I1580" s="13">
        <v>0</v>
      </c>
      <c r="J1580" s="13">
        <v>0</v>
      </c>
      <c r="K1580" s="14" t="str">
        <f t="shared" si="251"/>
        <v>Multimedia teleSUR</v>
      </c>
      <c r="L1580" s="13">
        <v>16686</v>
      </c>
      <c r="M1580" s="13">
        <v>54</v>
      </c>
      <c r="N1580" s="13">
        <v>152</v>
      </c>
      <c r="O1580" s="15"/>
      <c r="P1580" s="6">
        <v>40578.687673611115</v>
      </c>
      <c r="Q1580" s="17" t="s">
        <v>475</v>
      </c>
      <c r="R1580" s="18" t="s">
        <v>3962</v>
      </c>
      <c r="S1580" s="11" t="s">
        <v>1700</v>
      </c>
      <c r="T1580" s="12"/>
      <c r="U1580" s="10" t="str">
        <f t="shared" si="252"/>
        <v>View</v>
      </c>
    </row>
    <row r="1581" spans="1:21" ht="71.400000000000006">
      <c r="A1581" s="6">
        <v>43426.877569444448</v>
      </c>
      <c r="B1581" s="7" t="str">
        <f>HYPERLINK("https://twitter.com/Enrique54300325","@Enrique54300325")</f>
        <v>@Enrique54300325</v>
      </c>
      <c r="C1581" s="8" t="s">
        <v>5996</v>
      </c>
      <c r="D1581" s="9" t="s">
        <v>5997</v>
      </c>
      <c r="E1581" s="10" t="str">
        <f>HYPERLINK("https://twitter.com/Enrique54300325/status/1065697349413085187","1065697349413085187")</f>
        <v>1065697349413085187</v>
      </c>
      <c r="F1581" s="17" t="s">
        <v>5998</v>
      </c>
      <c r="G1581" s="12"/>
      <c r="H1581" s="12"/>
      <c r="I1581" s="13">
        <v>1</v>
      </c>
      <c r="J1581" s="13">
        <v>2</v>
      </c>
      <c r="K1581" s="14" t="str">
        <f>HYPERLINK("http://twitter.com/download/android","Twitter for Android")</f>
        <v>Twitter for Android</v>
      </c>
      <c r="L1581" s="13">
        <v>330</v>
      </c>
      <c r="M1581" s="13">
        <v>399</v>
      </c>
      <c r="N1581" s="13">
        <v>0</v>
      </c>
      <c r="O1581" s="15"/>
      <c r="P1581" s="6">
        <v>43068.97256944445</v>
      </c>
      <c r="Q1581" s="17" t="s">
        <v>5999</v>
      </c>
      <c r="R1581" s="18" t="s">
        <v>6000</v>
      </c>
      <c r="S1581" s="12"/>
      <c r="T1581" s="12"/>
      <c r="U1581" s="10" t="str">
        <f>HYPERLINK("https://pbs.twimg.com/profile_images/1051955841988026371/exC6GRb8.jpg","View")</f>
        <v>View</v>
      </c>
    </row>
    <row r="1582" spans="1:21" ht="20.399999999999999">
      <c r="A1582" s="6">
        <v>43426.877291666664</v>
      </c>
      <c r="B1582" s="7" t="str">
        <f>HYPERLINK("https://twitter.com/Manu_manu23","@Manu_manu23")</f>
        <v>@Manu_manu23</v>
      </c>
      <c r="C1582" s="8" t="s">
        <v>5968</v>
      </c>
      <c r="D1582" s="9" t="s">
        <v>6001</v>
      </c>
      <c r="E1582" s="10" t="str">
        <f>HYPERLINK("https://twitter.com/Manu_manu23/status/1065697247470542850","1065697247470542850")</f>
        <v>1065697247470542850</v>
      </c>
      <c r="F1582" s="12"/>
      <c r="G1582" s="12"/>
      <c r="H1582" s="12"/>
      <c r="I1582" s="13">
        <v>72</v>
      </c>
      <c r="J1582" s="13">
        <v>85</v>
      </c>
      <c r="K1582" s="14" t="str">
        <f>HYPERLINK("http://www.tweetcaster.com","TweetCaster for Android")</f>
        <v>TweetCaster for Android</v>
      </c>
      <c r="L1582" s="13">
        <v>331</v>
      </c>
      <c r="M1582" s="13">
        <v>706</v>
      </c>
      <c r="N1582" s="13">
        <v>8</v>
      </c>
      <c r="O1582" s="15"/>
      <c r="P1582" s="6">
        <v>40761.680567129632</v>
      </c>
      <c r="Q1582" s="12"/>
      <c r="R1582" s="18" t="s">
        <v>5970</v>
      </c>
      <c r="S1582" s="11" t="s">
        <v>5971</v>
      </c>
      <c r="T1582" s="12"/>
      <c r="U1582" s="10" t="str">
        <f>HYPERLINK("https://pbs.twimg.com/profile_images/865518372674347008/dXJ3kSwm.jpg","View")</f>
        <v>View</v>
      </c>
    </row>
    <row r="1583" spans="1:21" ht="20.399999999999999">
      <c r="A1583" s="6">
        <v>43426.875914351855</v>
      </c>
      <c r="B1583" s="7" t="str">
        <f>HYPERLINK("https://twitter.com/imeza50","@imeza50")</f>
        <v>@imeza50</v>
      </c>
      <c r="C1583" s="8" t="s">
        <v>6002</v>
      </c>
      <c r="D1583" s="9" t="s">
        <v>2981</v>
      </c>
      <c r="E1583" s="10" t="str">
        <f>HYPERLINK("https://twitter.com/imeza50/status/1065696749451444224","1065696749451444224")</f>
        <v>1065696749451444224</v>
      </c>
      <c r="F1583" s="11" t="s">
        <v>6003</v>
      </c>
      <c r="G1583" s="12"/>
      <c r="H1583" s="12"/>
      <c r="I1583" s="13">
        <v>0</v>
      </c>
      <c r="J1583" s="13">
        <v>0</v>
      </c>
      <c r="K1583" s="14" t="str">
        <f>HYPERLINK("http://twitter.com/download/android","Twitter for Android")</f>
        <v>Twitter for Android</v>
      </c>
      <c r="L1583" s="13">
        <v>73</v>
      </c>
      <c r="M1583" s="13">
        <v>399</v>
      </c>
      <c r="N1583" s="13">
        <v>0</v>
      </c>
      <c r="O1583" s="15"/>
      <c r="P1583" s="6">
        <v>42100.890347222223</v>
      </c>
      <c r="Q1583" s="17" t="s">
        <v>6004</v>
      </c>
      <c r="R1583" s="18" t="s">
        <v>6005</v>
      </c>
      <c r="S1583" s="12"/>
      <c r="T1583" s="12"/>
      <c r="U1583" s="10" t="str">
        <f>HYPERLINK("https://pbs.twimg.com/profile_images/606553902406696963/--LcQV59.jpg","View")</f>
        <v>View</v>
      </c>
    </row>
    <row r="1584" spans="1:21" ht="30.6">
      <c r="A1584" s="6">
        <v>43426.87572916667</v>
      </c>
      <c r="B1584" s="7" t="str">
        <f>HYPERLINK("https://twitter.com/FRANDEDIOSM","@FRANDEDIOSM")</f>
        <v>@FRANDEDIOSM</v>
      </c>
      <c r="C1584" s="8" t="s">
        <v>588</v>
      </c>
      <c r="D1584" s="9" t="s">
        <v>6006</v>
      </c>
      <c r="E1584" s="10" t="str">
        <f>HYPERLINK("https://twitter.com/FRANDEDIOSM/status/1065696682489323521","1065696682489323521")</f>
        <v>1065696682489323521</v>
      </c>
      <c r="F1584" s="11" t="s">
        <v>6007</v>
      </c>
      <c r="G1584" s="12"/>
      <c r="H1584" s="12"/>
      <c r="I1584" s="13">
        <v>0</v>
      </c>
      <c r="J1584" s="13">
        <v>0</v>
      </c>
      <c r="K1584" s="14" t="str">
        <f>HYPERLINK("http://twitter.com/download/iphone","Twitter for iPhone")</f>
        <v>Twitter for iPhone</v>
      </c>
      <c r="L1584" s="13">
        <v>149</v>
      </c>
      <c r="M1584" s="13">
        <v>403</v>
      </c>
      <c r="N1584" s="13">
        <v>2</v>
      </c>
      <c r="O1584" s="15"/>
      <c r="P1584" s="6">
        <v>40807.361944444448</v>
      </c>
      <c r="Q1584" s="17" t="s">
        <v>6008</v>
      </c>
      <c r="R1584" s="18" t="s">
        <v>6009</v>
      </c>
      <c r="S1584" s="12"/>
      <c r="T1584" s="12"/>
      <c r="U1584" s="10" t="str">
        <f>HYPERLINK("https://pbs.twimg.com/profile_images/731941268302008320/RPC8VcB8.jpg","View")</f>
        <v>View</v>
      </c>
    </row>
    <row r="1585" spans="1:21" ht="13.2">
      <c r="A1585" s="6">
        <v>43426.874351851853</v>
      </c>
      <c r="B1585" s="7" t="str">
        <f>HYPERLINK("https://twitter.com/deportecoruna","@deportecoruna")</f>
        <v>@deportecoruna</v>
      </c>
      <c r="C1585" s="8" t="s">
        <v>6010</v>
      </c>
      <c r="D1585" s="9" t="s">
        <v>6011</v>
      </c>
      <c r="E1585" s="10" t="str">
        <f>HYPERLINK("https://twitter.com/deportecoruna/status/1065696181601239040","1065696181601239040")</f>
        <v>1065696181601239040</v>
      </c>
      <c r="F1585" s="11" t="s">
        <v>6012</v>
      </c>
      <c r="G1585" s="12"/>
      <c r="H1585" s="12"/>
      <c r="I1585" s="13">
        <v>0</v>
      </c>
      <c r="J1585" s="13">
        <v>0</v>
      </c>
      <c r="K1585" s="14" t="str">
        <f>HYPERLINK("https://dlvrit.com/","dlvr.it")</f>
        <v>dlvr.it</v>
      </c>
      <c r="L1585" s="13">
        <v>770</v>
      </c>
      <c r="M1585" s="13">
        <v>147</v>
      </c>
      <c r="N1585" s="13">
        <v>43</v>
      </c>
      <c r="O1585" s="15"/>
      <c r="P1585" s="6">
        <v>40667.530219907407</v>
      </c>
      <c r="Q1585" s="17" t="s">
        <v>2613</v>
      </c>
      <c r="R1585" s="18" t="s">
        <v>6013</v>
      </c>
      <c r="S1585" s="12"/>
      <c r="T1585" s="12"/>
      <c r="U1585" s="10" t="str">
        <f>HYPERLINK("https://pbs.twimg.com/profile_images/891756852085743616/uhsvRRpn.jpg","View")</f>
        <v>View</v>
      </c>
    </row>
    <row r="1586" spans="1:21" ht="91.8">
      <c r="A1586" s="6">
        <v>43426.874155092592</v>
      </c>
      <c r="B1586" s="7" t="str">
        <f>HYPERLINK("https://twitter.com/barnavictor","@barnavictor")</f>
        <v>@barnavictor</v>
      </c>
      <c r="C1586" s="8" t="s">
        <v>6014</v>
      </c>
      <c r="D1586" s="9" t="s">
        <v>6015</v>
      </c>
      <c r="E1586" s="10" t="str">
        <f>HYPERLINK("https://twitter.com/barnavictor/status/1065696113712340992","1065696113712340992")</f>
        <v>1065696113712340992</v>
      </c>
      <c r="F1586" s="11" t="s">
        <v>6016</v>
      </c>
      <c r="G1586" s="11" t="s">
        <v>6017</v>
      </c>
      <c r="H1586" s="12"/>
      <c r="I1586" s="13">
        <v>0</v>
      </c>
      <c r="J1586" s="13">
        <v>0</v>
      </c>
      <c r="K1586" s="14" t="str">
        <f>HYPERLINK("http://twitter.com","Twitter Web Client")</f>
        <v>Twitter Web Client</v>
      </c>
      <c r="L1586" s="13">
        <v>1783</v>
      </c>
      <c r="M1586" s="13">
        <v>1825</v>
      </c>
      <c r="N1586" s="13">
        <v>14</v>
      </c>
      <c r="O1586" s="15"/>
      <c r="P1586" s="6">
        <v>41384.688576388886</v>
      </c>
      <c r="Q1586" s="12"/>
      <c r="R1586" s="19"/>
      <c r="S1586" s="12"/>
      <c r="T1586" s="12"/>
      <c r="U1586" s="10" t="str">
        <f>HYPERLINK("https://pbs.twimg.com/profile_images/3548226529/dc39c6caf9d8e0cdc9d050051538906d.jpeg","View")</f>
        <v>View</v>
      </c>
    </row>
    <row r="1587" spans="1:21" ht="40.799999999999997">
      <c r="A1587" s="6">
        <v>43426.873749999999</v>
      </c>
      <c r="B1587" s="7" t="str">
        <f>HYPERLINK("https://twitter.com/Independent4ev1","@Independent4ev1")</f>
        <v>@Independent4ev1</v>
      </c>
      <c r="C1587" s="8" t="s">
        <v>6018</v>
      </c>
      <c r="D1587" s="9" t="s">
        <v>6019</v>
      </c>
      <c r="E1587" s="10" t="str">
        <f>HYPERLINK("https://twitter.com/Independent4ev1/status/1065695967029207042","1065695967029207042")</f>
        <v>1065695967029207042</v>
      </c>
      <c r="F1587" s="11" t="s">
        <v>5142</v>
      </c>
      <c r="G1587" s="12"/>
      <c r="H1587" s="12"/>
      <c r="I1587" s="13">
        <v>1</v>
      </c>
      <c r="J1587" s="13">
        <v>0</v>
      </c>
      <c r="K1587" s="14" t="str">
        <f>HYPERLINK("http://twitter.com/download/android","Twitter for Android")</f>
        <v>Twitter for Android</v>
      </c>
      <c r="L1587" s="13">
        <v>612</v>
      </c>
      <c r="M1587" s="13">
        <v>1079</v>
      </c>
      <c r="N1587" s="13">
        <v>1</v>
      </c>
      <c r="O1587" s="15"/>
      <c r="P1587" s="6">
        <v>43107.87736111111</v>
      </c>
      <c r="Q1587" s="17" t="s">
        <v>6020</v>
      </c>
      <c r="R1587" s="18" t="s">
        <v>6021</v>
      </c>
      <c r="S1587" s="12"/>
      <c r="T1587" s="12"/>
      <c r="U1587" s="10" t="str">
        <f>HYPERLINK("https://pbs.twimg.com/profile_images/1037802054486581250/2Fb9SDWI.jpg","View")</f>
        <v>View</v>
      </c>
    </row>
    <row r="1588" spans="1:21" ht="20.399999999999999">
      <c r="A1588" s="6">
        <v>43426.872361111113</v>
      </c>
      <c r="B1588" s="7" t="str">
        <f>HYPERLINK("https://twitter.com/Sneca5","@Sneca5")</f>
        <v>@Sneca5</v>
      </c>
      <c r="C1588" s="8" t="s">
        <v>6022</v>
      </c>
      <c r="D1588" s="9" t="s">
        <v>640</v>
      </c>
      <c r="E1588" s="10" t="str">
        <f>HYPERLINK("https://twitter.com/Sneca5/status/1065695460785102848","1065695460785102848")</f>
        <v>1065695460785102848</v>
      </c>
      <c r="F1588" s="11" t="s">
        <v>641</v>
      </c>
      <c r="G1588" s="12"/>
      <c r="H1588" s="12"/>
      <c r="I1588" s="13">
        <v>0</v>
      </c>
      <c r="J1588" s="13">
        <v>0</v>
      </c>
      <c r="K1588" s="14" t="str">
        <f>HYPERLINK("http://twitter.com","Twitter Web Client")</f>
        <v>Twitter Web Client</v>
      </c>
      <c r="L1588" s="13">
        <v>12</v>
      </c>
      <c r="M1588" s="13">
        <v>42</v>
      </c>
      <c r="N1588" s="13">
        <v>0</v>
      </c>
      <c r="O1588" s="15"/>
      <c r="P1588" s="6">
        <v>42846.454699074078</v>
      </c>
      <c r="Q1588" s="17" t="s">
        <v>1554</v>
      </c>
      <c r="R1588" s="18" t="s">
        <v>6023</v>
      </c>
      <c r="S1588" s="12"/>
      <c r="T1588" s="12"/>
      <c r="U1588" s="10" t="str">
        <f>HYPERLINK("https://pbs.twimg.com/profile_images/855346109450997760/LlEE2uYl.jpg","View")</f>
        <v>View</v>
      </c>
    </row>
    <row r="1589" spans="1:21" ht="20.399999999999999">
      <c r="A1589" s="6">
        <v>43426.872210648144</v>
      </c>
      <c r="B1589" s="7" t="str">
        <f>HYPERLINK("https://twitter.com/SoniaPerezR","@SoniaPerezR")</f>
        <v>@SoniaPerezR</v>
      </c>
      <c r="C1589" s="8" t="s">
        <v>6024</v>
      </c>
      <c r="D1589" s="9" t="s">
        <v>5291</v>
      </c>
      <c r="E1589" s="10" t="str">
        <f>HYPERLINK("https://twitter.com/SoniaPerezR/status/1065695406796013571","1065695406796013571")</f>
        <v>1065695406796013571</v>
      </c>
      <c r="F1589" s="11" t="s">
        <v>6025</v>
      </c>
      <c r="G1589" s="12"/>
      <c r="H1589" s="12"/>
      <c r="I1589" s="13">
        <v>3</v>
      </c>
      <c r="J1589" s="13">
        <v>3</v>
      </c>
      <c r="K1589" s="14" t="str">
        <f>HYPERLINK("http://twitter.com/download/iphone","Twitter for iPhone")</f>
        <v>Twitter for iPhone</v>
      </c>
      <c r="L1589" s="13">
        <v>1004</v>
      </c>
      <c r="M1589" s="13">
        <v>635</v>
      </c>
      <c r="N1589" s="13">
        <v>18</v>
      </c>
      <c r="O1589" s="15"/>
      <c r="P1589" s="6">
        <v>40647.485694444447</v>
      </c>
      <c r="Q1589" s="12"/>
      <c r="R1589" s="18" t="s">
        <v>6026</v>
      </c>
      <c r="S1589" s="12"/>
      <c r="T1589" s="12"/>
      <c r="U1589" s="10" t="str">
        <f>HYPERLINK("https://pbs.twimg.com/profile_images/983784712115228672/rw5RTiB7.jpg","View")</f>
        <v>View</v>
      </c>
    </row>
    <row r="1590" spans="1:21" ht="13.2">
      <c r="A1590" s="6">
        <v>43426.871076388888</v>
      </c>
      <c r="B1590" s="7" t="str">
        <f>HYPERLINK("https://twitter.com/NoticieroUniv","@NoticieroUniv")</f>
        <v>@NoticieroUniv</v>
      </c>
      <c r="C1590" s="8" t="s">
        <v>965</v>
      </c>
      <c r="D1590" s="9" t="s">
        <v>6027</v>
      </c>
      <c r="E1590" s="10" t="str">
        <f>HYPERLINK("https://twitter.com/NoticieroUniv/status/1065694997939453952","1065694997939453952")</f>
        <v>1065694997939453952</v>
      </c>
      <c r="F1590" s="11" t="s">
        <v>6028</v>
      </c>
      <c r="G1590" s="12"/>
      <c r="H1590" s="12"/>
      <c r="I1590" s="13">
        <v>0</v>
      </c>
      <c r="J1590" s="13">
        <v>0</v>
      </c>
      <c r="K1590" s="14" t="str">
        <f>HYPERLINK("https://noticierouniversal.com/","NoticieroUniversal")</f>
        <v>NoticieroUniversal</v>
      </c>
      <c r="L1590" s="13">
        <v>1080</v>
      </c>
      <c r="M1590" s="13">
        <v>36</v>
      </c>
      <c r="N1590" s="13">
        <v>21</v>
      </c>
      <c r="O1590" s="15"/>
      <c r="P1590" s="6">
        <v>42402.547939814816</v>
      </c>
      <c r="Q1590" s="17" t="s">
        <v>277</v>
      </c>
      <c r="R1590" s="18" t="s">
        <v>968</v>
      </c>
      <c r="S1590" s="11" t="s">
        <v>969</v>
      </c>
      <c r="T1590" s="12"/>
      <c r="U1590" s="10" t="str">
        <f>HYPERLINK("https://pbs.twimg.com/profile_images/719648419925594113/OnR0XNMn.jpg","View")</f>
        <v>View</v>
      </c>
    </row>
    <row r="1591" spans="1:21" ht="20.399999999999999">
      <c r="A1591" s="6">
        <v>43426.870856481481</v>
      </c>
      <c r="B1591" s="7" t="str">
        <f>HYPERLINK("https://twitter.com/Moncloa","@Moncloa")</f>
        <v>@Moncloa</v>
      </c>
      <c r="C1591" s="8" t="s">
        <v>1487</v>
      </c>
      <c r="D1591" s="9" t="s">
        <v>6029</v>
      </c>
      <c r="E1591" s="10" t="str">
        <f>HYPERLINK("https://twitter.com/Moncloa/status/1065694916255215616","1065694916255215616")</f>
        <v>1065694916255215616</v>
      </c>
      <c r="F1591" s="11" t="s">
        <v>6030</v>
      </c>
      <c r="G1591" s="12"/>
      <c r="H1591" s="12"/>
      <c r="I1591" s="13">
        <v>0</v>
      </c>
      <c r="J1591" s="13">
        <v>0</v>
      </c>
      <c r="K1591" s="14" t="str">
        <f>HYPERLINK("http://www.gkopu.com/books","MicroContent")</f>
        <v>MicroContent</v>
      </c>
      <c r="L1591" s="13">
        <v>9324</v>
      </c>
      <c r="M1591" s="13">
        <v>1</v>
      </c>
      <c r="N1591" s="13">
        <v>42</v>
      </c>
      <c r="O1591" s="15"/>
      <c r="P1591" s="6">
        <v>40723.496319444443</v>
      </c>
      <c r="Q1591" s="17" t="s">
        <v>28</v>
      </c>
      <c r="R1591" s="18" t="s">
        <v>1490</v>
      </c>
      <c r="S1591" s="12"/>
      <c r="T1591" s="12"/>
      <c r="U1591" s="10" t="str">
        <f>HYPERLINK("https://pbs.twimg.com/profile_images/2272310074/v0xjmozqhpv90d675qs9.jpeg","View")</f>
        <v>View</v>
      </c>
    </row>
    <row r="1592" spans="1:21" ht="51">
      <c r="A1592" s="6">
        <v>43426.870416666672</v>
      </c>
      <c r="B1592" s="7" t="str">
        <f>HYPERLINK("https://twitter.com/paisdeimputados","@paisdeimputados")</f>
        <v>@paisdeimputados</v>
      </c>
      <c r="C1592" s="8" t="s">
        <v>2171</v>
      </c>
      <c r="D1592" s="9" t="s">
        <v>6031</v>
      </c>
      <c r="E1592" s="10" t="str">
        <f>HYPERLINK("https://twitter.com/paisdeimputados/status/1065694757098348548","1065694757098348548")</f>
        <v>1065694757098348548</v>
      </c>
      <c r="F1592" s="12"/>
      <c r="G1592" s="12"/>
      <c r="H1592" s="12"/>
      <c r="I1592" s="13">
        <v>0</v>
      </c>
      <c r="J1592" s="13">
        <v>4</v>
      </c>
      <c r="K1592" s="14" t="str">
        <f t="shared" ref="K1592:K1594" si="253">HYPERLINK("http://twitter.com/download/android","Twitter for Android")</f>
        <v>Twitter for Android</v>
      </c>
      <c r="L1592" s="13">
        <v>1013</v>
      </c>
      <c r="M1592" s="13">
        <v>400</v>
      </c>
      <c r="N1592" s="13">
        <v>6</v>
      </c>
      <c r="O1592" s="15"/>
      <c r="P1592" s="6">
        <v>42297.309988425928</v>
      </c>
      <c r="Q1592" s="17" t="s">
        <v>277</v>
      </c>
      <c r="R1592" s="19"/>
      <c r="S1592" s="12"/>
      <c r="T1592" s="12"/>
      <c r="U1592" s="10" t="str">
        <f>HYPERLINK("https://pbs.twimg.com/profile_images/1028397001686360064/ENPkvpt6.jpg","View")</f>
        <v>View</v>
      </c>
    </row>
    <row r="1593" spans="1:21" ht="40.799999999999997">
      <c r="A1593" s="6">
        <v>43426.870358796295</v>
      </c>
      <c r="B1593" s="7" t="str">
        <f>HYPERLINK("https://twitter.com/RadioCarmena","@RadioCarmena")</f>
        <v>@RadioCarmena</v>
      </c>
      <c r="C1593" s="8" t="s">
        <v>5463</v>
      </c>
      <c r="D1593" s="9" t="s">
        <v>6033</v>
      </c>
      <c r="E1593" s="10" t="str">
        <f>HYPERLINK("https://twitter.com/RadioCarmena/status/1065694735313108993","1065694735313108993")</f>
        <v>1065694735313108993</v>
      </c>
      <c r="F1593" s="12"/>
      <c r="G1593" s="12"/>
      <c r="H1593" s="12"/>
      <c r="I1593" s="13">
        <v>0</v>
      </c>
      <c r="J1593" s="13">
        <v>1</v>
      </c>
      <c r="K1593" s="14" t="str">
        <f t="shared" si="253"/>
        <v>Twitter for Android</v>
      </c>
      <c r="L1593" s="13">
        <v>5921</v>
      </c>
      <c r="M1593" s="13">
        <v>4732</v>
      </c>
      <c r="N1593" s="13">
        <v>42</v>
      </c>
      <c r="O1593" s="15"/>
      <c r="P1593" s="6">
        <v>42555.848877314813</v>
      </c>
      <c r="Q1593" s="17" t="s">
        <v>5465</v>
      </c>
      <c r="R1593" s="18" t="s">
        <v>5466</v>
      </c>
      <c r="S1593" s="12"/>
      <c r="T1593" s="12"/>
      <c r="U1593" s="10" t="str">
        <f>HYPERLINK("https://pbs.twimg.com/profile_images/1050828055462248448/BHlbNWRd.jpg","View")</f>
        <v>View</v>
      </c>
    </row>
    <row r="1594" spans="1:21" ht="20.399999999999999">
      <c r="A1594" s="6">
        <v>43426.870057870372</v>
      </c>
      <c r="B1594" s="7" t="str">
        <f>HYPERLINK("https://twitter.com/TheJoseGrande","@TheJoseGrande")</f>
        <v>@TheJoseGrande</v>
      </c>
      <c r="C1594" s="8" t="s">
        <v>6034</v>
      </c>
      <c r="D1594" s="9" t="s">
        <v>6035</v>
      </c>
      <c r="E1594" s="10" t="str">
        <f>HYPERLINK("https://twitter.com/TheJoseGrande/status/1065694628194615296","1065694628194615296")</f>
        <v>1065694628194615296</v>
      </c>
      <c r="F1594" s="12"/>
      <c r="G1594" s="11" t="s">
        <v>6036</v>
      </c>
      <c r="H1594" s="12"/>
      <c r="I1594" s="13">
        <v>0</v>
      </c>
      <c r="J1594" s="13">
        <v>0</v>
      </c>
      <c r="K1594" s="14" t="str">
        <f t="shared" si="253"/>
        <v>Twitter for Android</v>
      </c>
      <c r="L1594" s="13">
        <v>147</v>
      </c>
      <c r="M1594" s="13">
        <v>174</v>
      </c>
      <c r="N1594" s="13">
        <v>3</v>
      </c>
      <c r="O1594" s="15"/>
      <c r="P1594" s="6">
        <v>41411.897233796299</v>
      </c>
      <c r="Q1594" s="17" t="s">
        <v>6037</v>
      </c>
      <c r="R1594" s="18" t="s">
        <v>6038</v>
      </c>
      <c r="S1594" s="12"/>
      <c r="T1594" s="12"/>
      <c r="U1594" s="10" t="str">
        <f>HYPERLINK("https://pbs.twimg.com/profile_images/1033898566652239872/S0onTJqj.jpg","View")</f>
        <v>View</v>
      </c>
    </row>
    <row r="1595" spans="1:21" ht="20.399999999999999">
      <c r="A1595" s="6">
        <v>43426.869537037041</v>
      </c>
      <c r="B1595" s="7" t="str">
        <f>HYPERLINK("https://twitter.com/AntonioMaceo25","@AntonioMaceo25")</f>
        <v>@AntonioMaceo25</v>
      </c>
      <c r="C1595" s="8" t="s">
        <v>6039</v>
      </c>
      <c r="D1595" s="9" t="s">
        <v>6040</v>
      </c>
      <c r="E1595" s="10" t="str">
        <f>HYPERLINK("https://twitter.com/AntonioMaceo25/status/1065694440361209856","1065694440361209856")</f>
        <v>1065694440361209856</v>
      </c>
      <c r="F1595" s="11" t="s">
        <v>4378</v>
      </c>
      <c r="G1595" s="12"/>
      <c r="H1595" s="12"/>
      <c r="I1595" s="13">
        <v>0</v>
      </c>
      <c r="J1595" s="13">
        <v>0</v>
      </c>
      <c r="K1595" s="14" t="str">
        <f>HYPERLINK("http://twitter.com","Twitter Web Client")</f>
        <v>Twitter Web Client</v>
      </c>
      <c r="L1595" s="13">
        <v>1000</v>
      </c>
      <c r="M1595" s="13">
        <v>1155</v>
      </c>
      <c r="N1595" s="13">
        <v>3</v>
      </c>
      <c r="O1595" s="15"/>
      <c r="P1595" s="6">
        <v>40943.022141203706</v>
      </c>
      <c r="Q1595" s="12"/>
      <c r="R1595" s="19"/>
      <c r="S1595" s="12"/>
      <c r="T1595" s="12"/>
      <c r="U1595" s="10" t="str">
        <f>HYPERLINK("https://pbs.twimg.com/profile_images/2723498802/503aedb8d444595558ce6fe195e6bcd4.jpeg","View")</f>
        <v>View</v>
      </c>
    </row>
    <row r="1596" spans="1:21" ht="30.6">
      <c r="A1596" s="6">
        <v>43426.868668981479</v>
      </c>
      <c r="B1596" s="7" t="str">
        <f>HYPERLINK("https://twitter.com/galsuinda","@galsuinda")</f>
        <v>@galsuinda</v>
      </c>
      <c r="C1596" s="8" t="s">
        <v>6041</v>
      </c>
      <c r="D1596" s="9" t="s">
        <v>6042</v>
      </c>
      <c r="E1596" s="10" t="str">
        <f>HYPERLINK("https://twitter.com/galsuinda/status/1065694126128148482","1065694126128148482")</f>
        <v>1065694126128148482</v>
      </c>
      <c r="F1596" s="11" t="s">
        <v>6043</v>
      </c>
      <c r="G1596" s="12"/>
      <c r="H1596" s="12"/>
      <c r="I1596" s="13">
        <v>0</v>
      </c>
      <c r="J1596" s="13">
        <v>0</v>
      </c>
      <c r="K1596" s="14" t="str">
        <f>HYPERLINK("https://about.twitter.com/products/tweetdeck","TweetDeck")</f>
        <v>TweetDeck</v>
      </c>
      <c r="L1596" s="13">
        <v>2176</v>
      </c>
      <c r="M1596" s="13">
        <v>2132</v>
      </c>
      <c r="N1596" s="13">
        <v>75</v>
      </c>
      <c r="O1596" s="15"/>
      <c r="P1596" s="6">
        <v>39941.839861111112</v>
      </c>
      <c r="Q1596" s="17" t="s">
        <v>28</v>
      </c>
      <c r="R1596" s="18" t="s">
        <v>6044</v>
      </c>
      <c r="S1596" s="11" t="s">
        <v>6045</v>
      </c>
      <c r="T1596" s="12"/>
      <c r="U1596" s="10" t="str">
        <f>HYPERLINK("https://pbs.twimg.com/profile_images/1164971686/0000.jpg","View")</f>
        <v>View</v>
      </c>
    </row>
    <row r="1597" spans="1:21" ht="51">
      <c r="A1597" s="6">
        <v>43426.868414351848</v>
      </c>
      <c r="B1597" s="7" t="str">
        <f>HYPERLINK("https://twitter.com/Rafa_eltorete","@Rafa_eltorete")</f>
        <v>@Rafa_eltorete</v>
      </c>
      <c r="C1597" s="8" t="s">
        <v>6046</v>
      </c>
      <c r="D1597" s="9" t="s">
        <v>6047</v>
      </c>
      <c r="E1597" s="10" t="str">
        <f>HYPERLINK("https://twitter.com/Rafa_eltorete/status/1065694032330977286","1065694032330977286")</f>
        <v>1065694032330977286</v>
      </c>
      <c r="F1597" s="11" t="s">
        <v>3636</v>
      </c>
      <c r="G1597" s="12"/>
      <c r="H1597" s="12"/>
      <c r="I1597" s="13">
        <v>0</v>
      </c>
      <c r="J1597" s="13">
        <v>0</v>
      </c>
      <c r="K1597" s="14" t="str">
        <f>HYPERLINK("http://twitter.com/download/android","Twitter for Android")</f>
        <v>Twitter for Android</v>
      </c>
      <c r="L1597" s="13">
        <v>696</v>
      </c>
      <c r="M1597" s="13">
        <v>605</v>
      </c>
      <c r="N1597" s="13">
        <v>0</v>
      </c>
      <c r="O1597" s="15"/>
      <c r="P1597" s="6">
        <v>42814.744317129633</v>
      </c>
      <c r="Q1597" s="12"/>
      <c r="R1597" s="19"/>
      <c r="S1597" s="12"/>
      <c r="T1597" s="12"/>
      <c r="U1597" s="10" t="str">
        <f>HYPERLINK("https://pbs.twimg.com/profile_images/1000530269147942918/_OKYbl5b.jpg","View")</f>
        <v>View</v>
      </c>
    </row>
    <row r="1598" spans="1:21" ht="61.2">
      <c r="A1598" s="6">
        <v>43426.868217592593</v>
      </c>
      <c r="B1598" s="7" t="str">
        <f>HYPERLINK("https://twitter.com/linternacope","@linternacope")</f>
        <v>@linternacope</v>
      </c>
      <c r="C1598" s="8" t="s">
        <v>6048</v>
      </c>
      <c r="D1598" s="9" t="s">
        <v>6049</v>
      </c>
      <c r="E1598" s="10" t="str">
        <f>HYPERLINK("https://twitter.com/linternacope/status/1065693962344779776","1065693962344779776")</f>
        <v>1065693962344779776</v>
      </c>
      <c r="F1598" s="12"/>
      <c r="G1598" s="12"/>
      <c r="H1598" s="12"/>
      <c r="I1598" s="13">
        <v>9</v>
      </c>
      <c r="J1598" s="13">
        <v>10</v>
      </c>
      <c r="K1598" s="14" t="str">
        <f>HYPERLINK("http://twitter.com","Twitter Web Client")</f>
        <v>Twitter Web Client</v>
      </c>
      <c r="L1598" s="13">
        <v>28298</v>
      </c>
      <c r="M1598" s="13">
        <v>410</v>
      </c>
      <c r="N1598" s="13">
        <v>352</v>
      </c>
      <c r="O1598" s="16" t="s">
        <v>26</v>
      </c>
      <c r="P1598" s="6">
        <v>40575.648715277777</v>
      </c>
      <c r="Q1598" s="12"/>
      <c r="R1598" s="18" t="s">
        <v>6050</v>
      </c>
      <c r="S1598" s="11" t="s">
        <v>6051</v>
      </c>
      <c r="T1598" s="12"/>
      <c r="U1598" s="10" t="str">
        <f>HYPERLINK("https://pbs.twimg.com/profile_images/1063393631388741633/JcM3eipH.jpg","View")</f>
        <v>View</v>
      </c>
    </row>
    <row r="1599" spans="1:21" ht="20.399999999999999">
      <c r="A1599" s="6">
        <v>43426.867719907408</v>
      </c>
      <c r="B1599" s="7" t="str">
        <f t="shared" ref="B1599:B1600" si="254">HYPERLINK("https://twitter.com/domroberto","@domroberto")</f>
        <v>@domroberto</v>
      </c>
      <c r="C1599" s="8" t="s">
        <v>6052</v>
      </c>
      <c r="D1599" s="9" t="s">
        <v>6053</v>
      </c>
      <c r="E1599" s="10" t="str">
        <f>HYPERLINK("https://twitter.com/domroberto/status/1065693779888390145","1065693779888390145")</f>
        <v>1065693779888390145</v>
      </c>
      <c r="F1599" s="11" t="s">
        <v>6054</v>
      </c>
      <c r="G1599" s="12"/>
      <c r="H1599" s="12"/>
      <c r="I1599" s="13">
        <v>0</v>
      </c>
      <c r="J1599" s="13">
        <v>0</v>
      </c>
      <c r="K1599" s="14" t="str">
        <f t="shared" ref="K1599:K1600" si="255">HYPERLINK("https://www.google.com/","Google")</f>
        <v>Google</v>
      </c>
      <c r="L1599" s="13">
        <v>582</v>
      </c>
      <c r="M1599" s="13">
        <v>690</v>
      </c>
      <c r="N1599" s="13">
        <v>32</v>
      </c>
      <c r="O1599" s="15"/>
      <c r="P1599" s="6">
        <v>40002.508530092593</v>
      </c>
      <c r="Q1599" s="17" t="s">
        <v>28</v>
      </c>
      <c r="R1599" s="18" t="s">
        <v>6055</v>
      </c>
      <c r="S1599" s="11" t="s">
        <v>6056</v>
      </c>
      <c r="T1599" s="12"/>
      <c r="U1599" s="10" t="str">
        <f t="shared" ref="U1599:U1600" si="256">HYPERLINK("https://pbs.twimg.com/profile_images/433518157840400384/wAkoBBjM.jpeg","View")</f>
        <v>View</v>
      </c>
    </row>
    <row r="1600" spans="1:21" ht="20.399999999999999">
      <c r="A1600" s="6">
        <v>43426.867673611108</v>
      </c>
      <c r="B1600" s="7" t="str">
        <f t="shared" si="254"/>
        <v>@domroberto</v>
      </c>
      <c r="C1600" s="8" t="s">
        <v>6052</v>
      </c>
      <c r="D1600" s="9" t="s">
        <v>6053</v>
      </c>
      <c r="E1600" s="10" t="str">
        <f>HYPERLINK("https://twitter.com/domroberto/status/1065693762901368832","1065693762901368832")</f>
        <v>1065693762901368832</v>
      </c>
      <c r="F1600" s="11" t="s">
        <v>6054</v>
      </c>
      <c r="G1600" s="12"/>
      <c r="H1600" s="12"/>
      <c r="I1600" s="13">
        <v>0</v>
      </c>
      <c r="J1600" s="13">
        <v>0</v>
      </c>
      <c r="K1600" s="14" t="str">
        <f t="shared" si="255"/>
        <v>Google</v>
      </c>
      <c r="L1600" s="13">
        <v>582</v>
      </c>
      <c r="M1600" s="13">
        <v>690</v>
      </c>
      <c r="N1600" s="13">
        <v>32</v>
      </c>
      <c r="O1600" s="15"/>
      <c r="P1600" s="6">
        <v>40002.508530092593</v>
      </c>
      <c r="Q1600" s="17" t="s">
        <v>28</v>
      </c>
      <c r="R1600" s="18" t="s">
        <v>6055</v>
      </c>
      <c r="S1600" s="11" t="s">
        <v>6056</v>
      </c>
      <c r="T1600" s="12"/>
      <c r="U1600" s="10" t="str">
        <f t="shared" si="256"/>
        <v>View</v>
      </c>
    </row>
    <row r="1601" spans="1:21" ht="51">
      <c r="A1601" s="6">
        <v>43426.867407407408</v>
      </c>
      <c r="B1601" s="7" t="str">
        <f>HYPERLINK("https://twitter.com/lacajadelachina","@lacajadelachina")</f>
        <v>@lacajadelachina</v>
      </c>
      <c r="C1601" s="8" t="s">
        <v>6060</v>
      </c>
      <c r="D1601" s="9" t="s">
        <v>6061</v>
      </c>
      <c r="E1601" s="10" t="str">
        <f>HYPERLINK("https://twitter.com/lacajadelachina/status/1065693668026318849","1065693668026318849")</f>
        <v>1065693668026318849</v>
      </c>
      <c r="F1601" s="12"/>
      <c r="G1601" s="12"/>
      <c r="H1601" s="12"/>
      <c r="I1601" s="13">
        <v>0</v>
      </c>
      <c r="J1601" s="13">
        <v>0</v>
      </c>
      <c r="K1601" s="14" t="str">
        <f>HYPERLINK("http://twitter.com/download/iphone","Twitter for iPhone")</f>
        <v>Twitter for iPhone</v>
      </c>
      <c r="L1601" s="13">
        <v>7567</v>
      </c>
      <c r="M1601" s="13">
        <v>605</v>
      </c>
      <c r="N1601" s="13">
        <v>554</v>
      </c>
      <c r="O1601" s="15"/>
      <c r="P1601" s="6">
        <v>40483.688634259262</v>
      </c>
      <c r="Q1601" s="17" t="s">
        <v>6062</v>
      </c>
      <c r="R1601" s="18" t="s">
        <v>6063</v>
      </c>
      <c r="S1601" s="11" t="s">
        <v>6064</v>
      </c>
      <c r="T1601" s="12"/>
      <c r="U1601" s="10" t="str">
        <f>HYPERLINK("https://pbs.twimg.com/profile_images/998324293946650625/JlhDts7n.jpg","View")</f>
        <v>View</v>
      </c>
    </row>
    <row r="1602" spans="1:21" ht="20.399999999999999">
      <c r="A1602" s="6">
        <v>43426.866666666669</v>
      </c>
      <c r="B1602" s="7" t="str">
        <f>HYPERLINK("https://twitter.com/samocar","@samocar")</f>
        <v>@samocar</v>
      </c>
      <c r="C1602" s="8" t="s">
        <v>6065</v>
      </c>
      <c r="D1602" s="9" t="s">
        <v>2088</v>
      </c>
      <c r="E1602" s="10" t="str">
        <f>HYPERLINK("https://twitter.com/samocar/status/1065693397095194624","1065693397095194624")</f>
        <v>1065693397095194624</v>
      </c>
      <c r="F1602" s="11" t="s">
        <v>2089</v>
      </c>
      <c r="G1602" s="12"/>
      <c r="H1602" s="12"/>
      <c r="I1602" s="13">
        <v>0</v>
      </c>
      <c r="J1602" s="13">
        <v>0</v>
      </c>
      <c r="K1602" s="14" t="str">
        <f>HYPERLINK("http://twitter.com","Twitter Web Client")</f>
        <v>Twitter Web Client</v>
      </c>
      <c r="L1602" s="13">
        <v>175</v>
      </c>
      <c r="M1602" s="13">
        <v>1395</v>
      </c>
      <c r="N1602" s="13">
        <v>6</v>
      </c>
      <c r="O1602" s="15"/>
      <c r="P1602" s="6">
        <v>40543.277141203704</v>
      </c>
      <c r="Q1602" s="12"/>
      <c r="R1602" s="19"/>
      <c r="S1602" s="12"/>
      <c r="T1602" s="12"/>
      <c r="U1602" s="16" t="s">
        <v>373</v>
      </c>
    </row>
    <row r="1603" spans="1:21" ht="40.799999999999997">
      <c r="A1603" s="6">
        <v>43426.866226851853</v>
      </c>
      <c r="B1603" s="7" t="str">
        <f>HYPERLINK("https://twitter.com/GPPopular","@GPPopular")</f>
        <v>@GPPopular</v>
      </c>
      <c r="C1603" s="8" t="s">
        <v>6066</v>
      </c>
      <c r="D1603" s="9" t="s">
        <v>6067</v>
      </c>
      <c r="E1603" s="10" t="str">
        <f>HYPERLINK("https://twitter.com/GPPopular/status/1065693238026227714","1065693238026227714")</f>
        <v>1065693238026227714</v>
      </c>
      <c r="F1603" s="12"/>
      <c r="G1603" s="11" t="s">
        <v>6068</v>
      </c>
      <c r="H1603" s="12"/>
      <c r="I1603" s="13">
        <v>3</v>
      </c>
      <c r="J1603" s="13">
        <v>3</v>
      </c>
      <c r="K1603" s="14" t="str">
        <f>HYPERLINK("https://studio.twitter.com","Media Studio")</f>
        <v>Media Studio</v>
      </c>
      <c r="L1603" s="13">
        <v>34963</v>
      </c>
      <c r="M1603" s="13">
        <v>613</v>
      </c>
      <c r="N1603" s="13">
        <v>465</v>
      </c>
      <c r="O1603" s="16" t="s">
        <v>26</v>
      </c>
      <c r="P1603" s="6">
        <v>40247.743229166663</v>
      </c>
      <c r="Q1603" s="17" t="s">
        <v>72</v>
      </c>
      <c r="R1603" s="18" t="s">
        <v>6069</v>
      </c>
      <c r="S1603" s="11" t="s">
        <v>6070</v>
      </c>
      <c r="T1603" s="12"/>
      <c r="U1603" s="10" t="str">
        <f>HYPERLINK("https://pbs.twimg.com/profile_images/1053548288799137792/kbNU1H8T.jpg","View")</f>
        <v>View</v>
      </c>
    </row>
    <row r="1604" spans="1:21" ht="51">
      <c r="A1604" s="6">
        <v>43426.865787037037</v>
      </c>
      <c r="B1604" s="7" t="str">
        <f>HYPERLINK("https://twitter.com/hermanntertsch","@hermanntertsch")</f>
        <v>@hermanntertsch</v>
      </c>
      <c r="C1604" s="8" t="s">
        <v>3778</v>
      </c>
      <c r="D1604" s="9" t="s">
        <v>6071</v>
      </c>
      <c r="E1604" s="10" t="str">
        <f>HYPERLINK("https://twitter.com/hermanntertsch/status/1065693079720640512","1065693079720640512")</f>
        <v>1065693079720640512</v>
      </c>
      <c r="F1604" s="12"/>
      <c r="G1604" s="12"/>
      <c r="H1604" s="12"/>
      <c r="I1604" s="13">
        <v>1335</v>
      </c>
      <c r="J1604" s="13">
        <v>1953</v>
      </c>
      <c r="K1604" s="14" t="str">
        <f>HYPERLINK("http://twitter.com","Twitter Web Client")</f>
        <v>Twitter Web Client</v>
      </c>
      <c r="L1604" s="13">
        <v>126740</v>
      </c>
      <c r="M1604" s="13">
        <v>3124</v>
      </c>
      <c r="N1604" s="13">
        <v>2135</v>
      </c>
      <c r="O1604" s="15"/>
      <c r="P1604" s="6">
        <v>40599.27952546296</v>
      </c>
      <c r="Q1604" s="12"/>
      <c r="R1604" s="18" t="s">
        <v>3782</v>
      </c>
      <c r="S1604" s="12"/>
      <c r="T1604" s="12"/>
      <c r="U1604" s="10" t="str">
        <f>HYPERLINK("https://pbs.twimg.com/profile_images/857488336243576833/VZ0sdsQO.jpg","View")</f>
        <v>View</v>
      </c>
    </row>
    <row r="1605" spans="1:21" ht="30.6">
      <c r="A1605" s="6">
        <v>43426.865613425922</v>
      </c>
      <c r="B1605" s="7" t="str">
        <f>HYPERLINK("https://twitter.com/JoseCarlos_MA","@JoseCarlos_MA")</f>
        <v>@JoseCarlos_MA</v>
      </c>
      <c r="C1605" s="8" t="s">
        <v>6072</v>
      </c>
      <c r="D1605" s="9" t="s">
        <v>6073</v>
      </c>
      <c r="E1605" s="10" t="str">
        <f>HYPERLINK("https://twitter.com/JoseCarlos_MA/status/1065693016252403712","1065693016252403712")</f>
        <v>1065693016252403712</v>
      </c>
      <c r="F1605" s="12"/>
      <c r="G1605" s="12"/>
      <c r="H1605" s="12"/>
      <c r="I1605" s="13">
        <v>0</v>
      </c>
      <c r="J1605" s="13">
        <v>2</v>
      </c>
      <c r="K1605" s="14" t="str">
        <f>HYPERLINK("http://twitter.com/download/android","Twitter for Android")</f>
        <v>Twitter for Android</v>
      </c>
      <c r="L1605" s="13">
        <v>2510</v>
      </c>
      <c r="M1605" s="13">
        <v>2094</v>
      </c>
      <c r="N1605" s="13">
        <v>42</v>
      </c>
      <c r="O1605" s="15"/>
      <c r="P1605" s="6">
        <v>40869.479004629626</v>
      </c>
      <c r="Q1605" s="12"/>
      <c r="R1605" s="18" t="s">
        <v>6074</v>
      </c>
      <c r="S1605" s="12"/>
      <c r="T1605" s="12"/>
      <c r="U1605" s="10" t="str">
        <f>HYPERLINK("https://pbs.twimg.com/profile_images/957551667590893568/-WI0lVyX.jpg","View")</f>
        <v>View</v>
      </c>
    </row>
    <row r="1606" spans="1:21" ht="30.6">
      <c r="A1606" s="6">
        <v>43426.864953703705</v>
      </c>
      <c r="B1606" s="7" t="str">
        <f>HYPERLINK("https://twitter.com/prensafresca","@prensafresca")</f>
        <v>@prensafresca</v>
      </c>
      <c r="C1606" s="8" t="s">
        <v>5722</v>
      </c>
      <c r="D1606" s="9" t="s">
        <v>2621</v>
      </c>
      <c r="E1606" s="10" t="str">
        <f>HYPERLINK("https://twitter.com/prensafresca/status/1065692779500703745","1065692779500703745")</f>
        <v>1065692779500703745</v>
      </c>
      <c r="F1606" s="11" t="s">
        <v>6075</v>
      </c>
      <c r="G1606" s="12"/>
      <c r="H1606" s="12"/>
      <c r="I1606" s="13">
        <v>2</v>
      </c>
      <c r="J1606" s="13">
        <v>1</v>
      </c>
      <c r="K1606" s="14" t="str">
        <f>HYPERLINK("http://notAWebYet.com","Tuitulares_v2")</f>
        <v>Tuitulares_v2</v>
      </c>
      <c r="L1606" s="13">
        <v>3928</v>
      </c>
      <c r="M1606" s="13">
        <v>2611</v>
      </c>
      <c r="N1606" s="13">
        <v>85</v>
      </c>
      <c r="O1606" s="15"/>
      <c r="P1606" s="6">
        <v>42414.68813657407</v>
      </c>
      <c r="Q1606" s="12"/>
      <c r="R1606" s="18" t="s">
        <v>5725</v>
      </c>
      <c r="S1606" s="12"/>
      <c r="T1606" s="12"/>
      <c r="U1606" s="10" t="str">
        <f>HYPERLINK("https://pbs.twimg.com/profile_images/712044672676397058/2n9qvNh2.jpg","View")</f>
        <v>View</v>
      </c>
    </row>
    <row r="1607" spans="1:21" ht="40.799999999999997">
      <c r="A1607" s="6">
        <v>43426.864872685182</v>
      </c>
      <c r="B1607" s="7" t="str">
        <f>HYPERLINK("https://twitter.com/frarumo","@frarumo")</f>
        <v>@frarumo</v>
      </c>
      <c r="C1607" s="8" t="s">
        <v>5731</v>
      </c>
      <c r="D1607" s="9" t="s">
        <v>6076</v>
      </c>
      <c r="E1607" s="10" t="str">
        <f>HYPERLINK("https://twitter.com/frarumo/status/1065692749352050689","1065692749352050689")</f>
        <v>1065692749352050689</v>
      </c>
      <c r="F1607" s="12"/>
      <c r="G1607" s="12"/>
      <c r="H1607" s="12"/>
      <c r="I1607" s="13">
        <v>0</v>
      </c>
      <c r="J1607" s="13">
        <v>1</v>
      </c>
      <c r="K1607" s="14" t="str">
        <f>HYPERLINK("http://twitter.com/download/iphone","Twitter for iPhone")</f>
        <v>Twitter for iPhone</v>
      </c>
      <c r="L1607" s="13">
        <v>634</v>
      </c>
      <c r="M1607" s="13">
        <v>356</v>
      </c>
      <c r="N1607" s="13">
        <v>35</v>
      </c>
      <c r="O1607" s="15"/>
      <c r="P1607" s="6">
        <v>40502.293437500004</v>
      </c>
      <c r="Q1607" s="17" t="s">
        <v>5733</v>
      </c>
      <c r="R1607" s="18" t="s">
        <v>5734</v>
      </c>
      <c r="S1607" s="11" t="s">
        <v>5735</v>
      </c>
      <c r="T1607" s="12"/>
      <c r="U1607" s="10" t="str">
        <f>HYPERLINK("https://pbs.twimg.com/profile_images/1053881059945955328/2ku9fnSG.jpg","View")</f>
        <v>View</v>
      </c>
    </row>
    <row r="1608" spans="1:21" ht="30.6">
      <c r="A1608" s="6">
        <v>43426.864837962959</v>
      </c>
      <c r="B1608" s="7" t="str">
        <f>HYPERLINK("https://twitter.com/sanchez_jj","@sanchez_jj")</f>
        <v>@sanchez_jj</v>
      </c>
      <c r="C1608" s="8" t="s">
        <v>6077</v>
      </c>
      <c r="D1608" s="9" t="s">
        <v>6078</v>
      </c>
      <c r="E1608" s="10" t="str">
        <f>HYPERLINK("https://twitter.com/sanchez_jj/status/1065692735959638023","1065692735959638023")</f>
        <v>1065692735959638023</v>
      </c>
      <c r="F1608" s="11" t="s">
        <v>6079</v>
      </c>
      <c r="G1608" s="12"/>
      <c r="H1608" s="12"/>
      <c r="I1608" s="13">
        <v>0</v>
      </c>
      <c r="J1608" s="13">
        <v>0</v>
      </c>
      <c r="K1608" s="14" t="str">
        <f>HYPERLINK("http://twitter.com","Twitter Web Client")</f>
        <v>Twitter Web Client</v>
      </c>
      <c r="L1608" s="13">
        <v>33453</v>
      </c>
      <c r="M1608" s="13">
        <v>336</v>
      </c>
      <c r="N1608" s="13">
        <v>194</v>
      </c>
      <c r="O1608" s="15"/>
      <c r="P1608" s="6">
        <v>40400.572164351848</v>
      </c>
      <c r="Q1608" s="17" t="s">
        <v>191</v>
      </c>
      <c r="R1608" s="18" t="s">
        <v>6080</v>
      </c>
      <c r="S1608" s="11" t="s">
        <v>6081</v>
      </c>
      <c r="T1608" s="12"/>
      <c r="U1608" s="10" t="str">
        <f>HYPERLINK("https://pbs.twimg.com/profile_images/1046883626409963520/R-HaWhoc.jpg","View")</f>
        <v>View</v>
      </c>
    </row>
    <row r="1609" spans="1:21" ht="40.799999999999997">
      <c r="A1609" s="6">
        <v>43426.864710648151</v>
      </c>
      <c r="B1609" s="7" t="str">
        <f>HYPERLINK("https://twitter.com/Citytv","@Citytv")</f>
        <v>@Citytv</v>
      </c>
      <c r="C1609" s="8" t="s">
        <v>6082</v>
      </c>
      <c r="D1609" s="9" t="s">
        <v>6083</v>
      </c>
      <c r="E1609" s="10" t="str">
        <f>HYPERLINK("https://twitter.com/Citytv/status/1065692691114143745","1065692691114143745")</f>
        <v>1065692691114143745</v>
      </c>
      <c r="F1609" s="11" t="s">
        <v>6084</v>
      </c>
      <c r="G1609" s="11" t="s">
        <v>6085</v>
      </c>
      <c r="H1609" s="12"/>
      <c r="I1609" s="13">
        <v>1</v>
      </c>
      <c r="J1609" s="13">
        <v>1</v>
      </c>
      <c r="K1609" s="14" t="str">
        <f>HYPERLINK("https://www.hootsuite.com","Hootsuite Inc.")</f>
        <v>Hootsuite Inc.</v>
      </c>
      <c r="L1609" s="13">
        <v>2690614</v>
      </c>
      <c r="M1609" s="13">
        <v>3551</v>
      </c>
      <c r="N1609" s="13">
        <v>3219</v>
      </c>
      <c r="O1609" s="16" t="s">
        <v>26</v>
      </c>
      <c r="P1609" s="6">
        <v>39952.736817129626</v>
      </c>
      <c r="Q1609" s="17" t="s">
        <v>1720</v>
      </c>
      <c r="R1609" s="18" t="s">
        <v>6086</v>
      </c>
      <c r="S1609" s="11" t="s">
        <v>6087</v>
      </c>
      <c r="T1609" s="12"/>
      <c r="U1609" s="10" t="str">
        <f>HYPERLINK("https://pbs.twimg.com/profile_images/1054474912205889538/V0uOoP5w.jpg","View")</f>
        <v>View</v>
      </c>
    </row>
    <row r="1610" spans="1:21" ht="30.6">
      <c r="A1610" s="6">
        <v>43426.864699074074</v>
      </c>
      <c r="B1610" s="7" t="str">
        <f>HYPERLINK("https://twitter.com/NotiNewsMiami","@NotiNewsMiami")</f>
        <v>@NotiNewsMiami</v>
      </c>
      <c r="C1610" s="8" t="s">
        <v>5261</v>
      </c>
      <c r="D1610" s="9" t="s">
        <v>6088</v>
      </c>
      <c r="E1610" s="10" t="str">
        <f>HYPERLINK("https://twitter.com/NotiNewsMiami/status/1065692684776546304","1065692684776546304")</f>
        <v>1065692684776546304</v>
      </c>
      <c r="F1610" s="11" t="s">
        <v>6089</v>
      </c>
      <c r="G1610" s="12"/>
      <c r="H1610" s="12"/>
      <c r="I1610" s="13">
        <v>3</v>
      </c>
      <c r="J1610" s="13">
        <v>3</v>
      </c>
      <c r="K1610" s="14" t="str">
        <f>HYPERLINK("https://buffer.com","Buffer")</f>
        <v>Buffer</v>
      </c>
      <c r="L1610" s="13">
        <v>133499</v>
      </c>
      <c r="M1610" s="13">
        <v>9477</v>
      </c>
      <c r="N1610" s="13">
        <v>448</v>
      </c>
      <c r="O1610" s="15"/>
      <c r="P1610" s="6">
        <v>41688.329629629632</v>
      </c>
      <c r="Q1610" s="17" t="s">
        <v>3997</v>
      </c>
      <c r="R1610" s="18" t="s">
        <v>5264</v>
      </c>
      <c r="S1610" s="11" t="s">
        <v>5265</v>
      </c>
      <c r="T1610" s="12"/>
      <c r="U1610" s="10" t="str">
        <f>HYPERLINK("https://pbs.twimg.com/profile_images/1017913224887521280/xOqi1TRb.jpg","View")</f>
        <v>View</v>
      </c>
    </row>
    <row r="1611" spans="1:21" ht="51">
      <c r="A1611" s="6">
        <v>43426.864444444444</v>
      </c>
      <c r="B1611" s="7" t="str">
        <f>HYPERLINK("https://twitter.com/ecdlcsoft","@ecdlcsoft")</f>
        <v>@ecdlcsoft</v>
      </c>
      <c r="C1611" s="8" t="s">
        <v>6091</v>
      </c>
      <c r="D1611" s="9" t="s">
        <v>6092</v>
      </c>
      <c r="E1611" s="10" t="str">
        <f>HYPERLINK("https://twitter.com/ecdlcsoft/status/1065692591247802369","1065692591247802369")</f>
        <v>1065692591247802369</v>
      </c>
      <c r="F1611" s="11" t="s">
        <v>3697</v>
      </c>
      <c r="G1611" s="12"/>
      <c r="H1611" s="12"/>
      <c r="I1611" s="13">
        <v>0</v>
      </c>
      <c r="J1611" s="13">
        <v>0</v>
      </c>
      <c r="K1611" s="14" t="str">
        <f t="shared" ref="K1611:K1612" si="257">HYPERLINK("http://twitter.com","Twitter Web Client")</f>
        <v>Twitter Web Client</v>
      </c>
      <c r="L1611" s="13">
        <v>1034</v>
      </c>
      <c r="M1611" s="13">
        <v>2420</v>
      </c>
      <c r="N1611" s="13">
        <v>96</v>
      </c>
      <c r="O1611" s="15"/>
      <c r="P1611" s="6">
        <v>42319.773900462962</v>
      </c>
      <c r="Q1611" s="17" t="s">
        <v>6095</v>
      </c>
      <c r="R1611" s="18" t="s">
        <v>6096</v>
      </c>
      <c r="S1611" s="12"/>
      <c r="T1611" s="12"/>
      <c r="U1611" s="10" t="str">
        <f>HYPERLINK("https://pbs.twimg.com/profile_images/1057795036283314176/Hpfmu9RH.jpg","View")</f>
        <v>View</v>
      </c>
    </row>
    <row r="1612" spans="1:21" ht="40.799999999999997">
      <c r="A1612" s="6">
        <v>43426.864293981482</v>
      </c>
      <c r="B1612" s="7" t="str">
        <f>HYPERLINK("https://twitter.com/salvatciutadans","@salvatciutadans")</f>
        <v>@salvatciutadans</v>
      </c>
      <c r="C1612" s="8" t="s">
        <v>6097</v>
      </c>
      <c r="D1612" s="9" t="s">
        <v>1143</v>
      </c>
      <c r="E1612" s="10" t="str">
        <f>HYPERLINK("https://twitter.com/salvatciutadans/status/1065692538399584256","1065692538399584256")</f>
        <v>1065692538399584256</v>
      </c>
      <c r="F1612" s="11" t="s">
        <v>6098</v>
      </c>
      <c r="G1612" s="12"/>
      <c r="H1612" s="12"/>
      <c r="I1612" s="13">
        <v>1</v>
      </c>
      <c r="J1612" s="13">
        <v>0</v>
      </c>
      <c r="K1612" s="14" t="str">
        <f t="shared" si="257"/>
        <v>Twitter Web Client</v>
      </c>
      <c r="L1612" s="13">
        <v>1293</v>
      </c>
      <c r="M1612" s="13">
        <v>2000</v>
      </c>
      <c r="N1612" s="13">
        <v>17</v>
      </c>
      <c r="O1612" s="15"/>
      <c r="P1612" s="6">
        <v>42248.012662037036</v>
      </c>
      <c r="Q1612" s="12"/>
      <c r="R1612" s="18" t="s">
        <v>6099</v>
      </c>
      <c r="S1612" s="12"/>
      <c r="T1612" s="12"/>
      <c r="U1612" s="10" t="str">
        <f>HYPERLINK("https://pbs.twimg.com/profile_images/1002432792372895744/e_u4E4bE.jpg","View")</f>
        <v>View</v>
      </c>
    </row>
    <row r="1613" spans="1:21" ht="20.399999999999999">
      <c r="A1613" s="6">
        <v>43426.86418981482</v>
      </c>
      <c r="B1613" s="7" t="str">
        <f>HYPERLINK("https://twitter.com/jmraventos","@jmraventos")</f>
        <v>@jmraventos</v>
      </c>
      <c r="C1613" s="8" t="s">
        <v>6100</v>
      </c>
      <c r="D1613" s="9" t="s">
        <v>6101</v>
      </c>
      <c r="E1613" s="10" t="str">
        <f>HYPERLINK("https://twitter.com/jmraventos/status/1065692500894064640","1065692500894064640")</f>
        <v>1065692500894064640</v>
      </c>
      <c r="F1613" s="11" t="s">
        <v>479</v>
      </c>
      <c r="G1613" s="12"/>
      <c r="H1613" s="12"/>
      <c r="I1613" s="13">
        <v>0</v>
      </c>
      <c r="J1613" s="13">
        <v>0</v>
      </c>
      <c r="K1613" s="14" t="str">
        <f>HYPERLINK("http://twitter.com/download/iphone","Twitter for iPhone")</f>
        <v>Twitter for iPhone</v>
      </c>
      <c r="L1613" s="13">
        <v>1557</v>
      </c>
      <c r="M1613" s="13">
        <v>1520</v>
      </c>
      <c r="N1613" s="13">
        <v>171</v>
      </c>
      <c r="O1613" s="15"/>
      <c r="P1613" s="6">
        <v>40148.742152777777</v>
      </c>
      <c r="Q1613" s="17" t="s">
        <v>2147</v>
      </c>
      <c r="R1613" s="18" t="s">
        <v>6104</v>
      </c>
      <c r="S1613" s="12"/>
      <c r="T1613" s="12"/>
      <c r="U1613" s="10" t="str">
        <f>HYPERLINK("https://pbs.twimg.com/profile_images/1000002863718903808/rUKLMc9Z.jpg","View")</f>
        <v>View</v>
      </c>
    </row>
    <row r="1614" spans="1:21" ht="20.399999999999999">
      <c r="A1614" s="6">
        <v>43426.86414351852</v>
      </c>
      <c r="B1614" s="7" t="str">
        <f>HYPERLINK("https://twitter.com/TeresaColl1","@TeresaColl1")</f>
        <v>@TeresaColl1</v>
      </c>
      <c r="C1614" s="8" t="s">
        <v>3729</v>
      </c>
      <c r="D1614" s="9" t="s">
        <v>2088</v>
      </c>
      <c r="E1614" s="10" t="str">
        <f>HYPERLINK("https://twitter.com/TeresaColl1/status/1065692484616028161","1065692484616028161")</f>
        <v>1065692484616028161</v>
      </c>
      <c r="F1614" s="11" t="s">
        <v>2089</v>
      </c>
      <c r="G1614" s="12"/>
      <c r="H1614" s="12"/>
      <c r="I1614" s="13">
        <v>6</v>
      </c>
      <c r="J1614" s="13">
        <v>3</v>
      </c>
      <c r="K1614" s="14" t="str">
        <f>HYPERLINK("http://twitter.com/download/android","Twitter for Android")</f>
        <v>Twitter for Android</v>
      </c>
      <c r="L1614" s="13">
        <v>4344</v>
      </c>
      <c r="M1614" s="13">
        <v>4285</v>
      </c>
      <c r="N1614" s="13">
        <v>37</v>
      </c>
      <c r="O1614" s="15"/>
      <c r="P1614" s="6">
        <v>41194.822488425925</v>
      </c>
      <c r="Q1614" s="17" t="s">
        <v>2842</v>
      </c>
      <c r="R1614" s="18" t="s">
        <v>3730</v>
      </c>
      <c r="S1614" s="12"/>
      <c r="T1614" s="12"/>
      <c r="U1614" s="10" t="str">
        <f>HYPERLINK("https://pbs.twimg.com/profile_images/457537422218117120/Pa6k7rsP.png","View")</f>
        <v>View</v>
      </c>
    </row>
    <row r="1615" spans="1:21" ht="30.6">
      <c r="A1615" s="6">
        <v>43426.864039351851</v>
      </c>
      <c r="B1615" s="7" t="str">
        <f>HYPERLINK("https://twitter.com/ecdlcsoft","@ecdlcsoft")</f>
        <v>@ecdlcsoft</v>
      </c>
      <c r="C1615" s="8" t="s">
        <v>6091</v>
      </c>
      <c r="D1615" s="9" t="s">
        <v>6109</v>
      </c>
      <c r="E1615" s="10" t="str">
        <f>HYPERLINK("https://twitter.com/ecdlcsoft/status/1065692444786913280","1065692444786913280")</f>
        <v>1065692444786913280</v>
      </c>
      <c r="F1615" s="11" t="s">
        <v>6110</v>
      </c>
      <c r="G1615" s="12"/>
      <c r="H1615" s="12"/>
      <c r="I1615" s="13">
        <v>0</v>
      </c>
      <c r="J1615" s="13">
        <v>0</v>
      </c>
      <c r="K1615" s="14" t="str">
        <f t="shared" ref="K1615:K1616" si="258">HYPERLINK("http://twitter.com","Twitter Web Client")</f>
        <v>Twitter Web Client</v>
      </c>
      <c r="L1615" s="13">
        <v>1034</v>
      </c>
      <c r="M1615" s="13">
        <v>2420</v>
      </c>
      <c r="N1615" s="13">
        <v>96</v>
      </c>
      <c r="O1615" s="15"/>
      <c r="P1615" s="6">
        <v>42319.773900462962</v>
      </c>
      <c r="Q1615" s="17" t="s">
        <v>6095</v>
      </c>
      <c r="R1615" s="18" t="s">
        <v>6096</v>
      </c>
      <c r="S1615" s="12"/>
      <c r="T1615" s="12"/>
      <c r="U1615" s="10" t="str">
        <f>HYPERLINK("https://pbs.twimg.com/profile_images/1057795036283314176/Hpfmu9RH.jpg","View")</f>
        <v>View</v>
      </c>
    </row>
    <row r="1616" spans="1:21" ht="30.6">
      <c r="A1616" s="6">
        <v>43426.864004629635</v>
      </c>
      <c r="B1616" s="7" t="str">
        <f>HYPERLINK("https://twitter.com/AnCricri","@AnCricri")</f>
        <v>@AnCricri</v>
      </c>
      <c r="C1616" s="8" t="s">
        <v>6111</v>
      </c>
      <c r="D1616" s="9" t="s">
        <v>2291</v>
      </c>
      <c r="E1616" s="10" t="str">
        <f>HYPERLINK("https://twitter.com/AnCricri/status/1065692431969132544","1065692431969132544")</f>
        <v>1065692431969132544</v>
      </c>
      <c r="F1616" s="11" t="s">
        <v>6112</v>
      </c>
      <c r="G1616" s="12"/>
      <c r="H1616" s="12"/>
      <c r="I1616" s="13">
        <v>0</v>
      </c>
      <c r="J1616" s="13">
        <v>0</v>
      </c>
      <c r="K1616" s="14" t="str">
        <f t="shared" si="258"/>
        <v>Twitter Web Client</v>
      </c>
      <c r="L1616" s="13">
        <v>471</v>
      </c>
      <c r="M1616" s="13">
        <v>325</v>
      </c>
      <c r="N1616" s="13">
        <v>115</v>
      </c>
      <c r="O1616" s="15"/>
      <c r="P1616" s="6">
        <v>39591.089050925926</v>
      </c>
      <c r="Q1616" s="12"/>
      <c r="R1616" s="19"/>
      <c r="S1616" s="12"/>
      <c r="T1616" s="12"/>
      <c r="U1616" s="10" t="str">
        <f>HYPERLINK("https://pbs.twimg.com/profile_images/792445948442112000/5JEFedok.jpg","View")</f>
        <v>View</v>
      </c>
    </row>
    <row r="1617" spans="1:21" ht="51">
      <c r="A1617" s="6">
        <v>43426.863333333335</v>
      </c>
      <c r="B1617" s="7" t="str">
        <f>HYPERLINK("https://twitter.com/FJVillalvilla","@FJVillalvilla")</f>
        <v>@FJVillalvilla</v>
      </c>
      <c r="C1617" s="8" t="s">
        <v>5505</v>
      </c>
      <c r="D1617" s="9" t="s">
        <v>6113</v>
      </c>
      <c r="E1617" s="10" t="str">
        <f>HYPERLINK("https://twitter.com/FJVillalvilla/status/1065692189336973313","1065692189336973313")</f>
        <v>1065692189336973313</v>
      </c>
      <c r="F1617" s="11" t="s">
        <v>6114</v>
      </c>
      <c r="G1617" s="12"/>
      <c r="H1617" s="12"/>
      <c r="I1617" s="13">
        <v>0</v>
      </c>
      <c r="J1617" s="13">
        <v>0</v>
      </c>
      <c r="K1617" s="14" t="str">
        <f>HYPERLINK("https://mobile.twitter.com","Twitter Lite")</f>
        <v>Twitter Lite</v>
      </c>
      <c r="L1617" s="13">
        <v>1416</v>
      </c>
      <c r="M1617" s="13">
        <v>1247</v>
      </c>
      <c r="N1617" s="13">
        <v>71</v>
      </c>
      <c r="O1617" s="15"/>
      <c r="P1617" s="6">
        <v>40646.738877314812</v>
      </c>
      <c r="Q1617" s="17" t="s">
        <v>5507</v>
      </c>
      <c r="R1617" s="18" t="s">
        <v>5509</v>
      </c>
      <c r="S1617" s="12"/>
      <c r="T1617" s="12"/>
      <c r="U1617" s="10" t="str">
        <f>HYPERLINK("https://pbs.twimg.com/profile_images/1002896281553993728/-dwfjt-O.jpg","View")</f>
        <v>View</v>
      </c>
    </row>
    <row r="1618" spans="1:21" ht="20.399999999999999">
      <c r="A1618" s="6">
        <v>43426.862662037034</v>
      </c>
      <c r="B1618" s="7" t="str">
        <f>HYPERLINK("https://twitter.com/mariaguadalupan","@mariaguadalupan")</f>
        <v>@mariaguadalupan</v>
      </c>
      <c r="C1618" s="8" t="s">
        <v>6115</v>
      </c>
      <c r="D1618" s="9" t="s">
        <v>2981</v>
      </c>
      <c r="E1618" s="10" t="str">
        <f>HYPERLINK("https://twitter.com/mariaguadalupan/status/1065691945417228290","1065691945417228290")</f>
        <v>1065691945417228290</v>
      </c>
      <c r="F1618" s="11" t="s">
        <v>6118</v>
      </c>
      <c r="G1618" s="12"/>
      <c r="H1618" s="12"/>
      <c r="I1618" s="13">
        <v>0</v>
      </c>
      <c r="J1618" s="13">
        <v>0</v>
      </c>
      <c r="K1618" s="14" t="str">
        <f>HYPERLINK("http://twitter.com","Twitter Web Client")</f>
        <v>Twitter Web Client</v>
      </c>
      <c r="L1618" s="13">
        <v>130</v>
      </c>
      <c r="M1618" s="13">
        <v>350</v>
      </c>
      <c r="N1618" s="13">
        <v>3</v>
      </c>
      <c r="O1618" s="15"/>
      <c r="P1618" s="6">
        <v>40479.677777777775</v>
      </c>
      <c r="Q1618" s="17" t="s">
        <v>1121</v>
      </c>
      <c r="R1618" s="19"/>
      <c r="S1618" s="12"/>
      <c r="T1618" s="12"/>
      <c r="U1618" s="10" t="str">
        <f>HYPERLINK("https://pbs.twimg.com/profile_images/643434118064283648/vleRO242.jpg","View")</f>
        <v>View</v>
      </c>
    </row>
    <row r="1619" spans="1:21" ht="20.399999999999999">
      <c r="A1619" s="6">
        <v>43426.862395833334</v>
      </c>
      <c r="B1619" s="7" t="str">
        <f>HYPERLINK("https://twitter.com/CCOOSanidadMad","@CCOOSanidadMad")</f>
        <v>@CCOOSanidadMad</v>
      </c>
      <c r="C1619" s="8" t="s">
        <v>4270</v>
      </c>
      <c r="D1619" s="9" t="s">
        <v>6121</v>
      </c>
      <c r="E1619" s="10" t="str">
        <f>HYPERLINK("https://twitter.com/CCOOSanidadMad/status/1065691850919563264","1065691850919563264")</f>
        <v>1065691850919563264</v>
      </c>
      <c r="F1619" s="11" t="s">
        <v>6122</v>
      </c>
      <c r="G1619" s="12"/>
      <c r="H1619" s="12"/>
      <c r="I1619" s="13">
        <v>2</v>
      </c>
      <c r="J1619" s="13">
        <v>2</v>
      </c>
      <c r="K1619" s="14" t="str">
        <f>HYPERLINK("http://twitter.com/download/android","Twitter for Android")</f>
        <v>Twitter for Android</v>
      </c>
      <c r="L1619" s="13">
        <v>3423</v>
      </c>
      <c r="M1619" s="13">
        <v>1600</v>
      </c>
      <c r="N1619" s="13">
        <v>65</v>
      </c>
      <c r="O1619" s="15"/>
      <c r="P1619" s="6">
        <v>41313.387650462959</v>
      </c>
      <c r="Q1619" s="17" t="s">
        <v>72</v>
      </c>
      <c r="R1619" s="18" t="s">
        <v>4274</v>
      </c>
      <c r="S1619" s="11" t="s">
        <v>4275</v>
      </c>
      <c r="T1619" s="12"/>
      <c r="U1619" s="10" t="str">
        <f>HYPERLINK("https://pbs.twimg.com/profile_images/1016609889395888128/qTvDo9hE.jpg","View")</f>
        <v>View</v>
      </c>
    </row>
    <row r="1620" spans="1:21" ht="40.799999999999997">
      <c r="A1620" s="6">
        <v>43426.861851851849</v>
      </c>
      <c r="B1620" s="7" t="str">
        <f>HYPERLINK("https://twitter.com/Wornikay","@Wornikay")</f>
        <v>@Wornikay</v>
      </c>
      <c r="C1620" s="8" t="s">
        <v>6123</v>
      </c>
      <c r="D1620" s="9" t="s">
        <v>6124</v>
      </c>
      <c r="E1620" s="10" t="str">
        <f>HYPERLINK("https://twitter.com/Wornikay/status/1065691652046635008","1065691652046635008")</f>
        <v>1065691652046635008</v>
      </c>
      <c r="F1620" s="17" t="s">
        <v>6125</v>
      </c>
      <c r="G1620" s="12"/>
      <c r="H1620" s="12"/>
      <c r="I1620" s="13">
        <v>0</v>
      </c>
      <c r="J1620" s="13">
        <v>5</v>
      </c>
      <c r="K1620" s="14" t="str">
        <f>HYPERLINK("http://twitter.com","Twitter Web Client")</f>
        <v>Twitter Web Client</v>
      </c>
      <c r="L1620" s="13">
        <v>513</v>
      </c>
      <c r="M1620" s="13">
        <v>510</v>
      </c>
      <c r="N1620" s="13">
        <v>43</v>
      </c>
      <c r="O1620" s="15"/>
      <c r="P1620" s="6">
        <v>40681.794641203705</v>
      </c>
      <c r="Q1620" s="17" t="s">
        <v>6126</v>
      </c>
      <c r="R1620" s="18" t="s">
        <v>6127</v>
      </c>
      <c r="S1620" s="12"/>
      <c r="T1620" s="12"/>
      <c r="U1620" s="10" t="str">
        <f>HYPERLINK("https://pbs.twimg.com/profile_images/1056629743527911429/cgM4O8OM.jpg","View")</f>
        <v>View</v>
      </c>
    </row>
    <row r="1621" spans="1:21" ht="51">
      <c r="A1621" s="6">
        <v>43426.861782407403</v>
      </c>
      <c r="B1621" s="7" t="str">
        <f>HYPERLINK("https://twitter.com/ppmadrid","@ppmadrid")</f>
        <v>@ppmadrid</v>
      </c>
      <c r="C1621" s="8" t="s">
        <v>6128</v>
      </c>
      <c r="D1621" s="9" t="s">
        <v>6129</v>
      </c>
      <c r="E1621" s="10" t="str">
        <f>HYPERLINK("https://twitter.com/ppmadrid/status/1065691629238067201","1065691629238067201")</f>
        <v>1065691629238067201</v>
      </c>
      <c r="F1621" s="12"/>
      <c r="G1621" s="11" t="s">
        <v>6130</v>
      </c>
      <c r="H1621" s="12"/>
      <c r="I1621" s="13">
        <v>13</v>
      </c>
      <c r="J1621" s="13">
        <v>13</v>
      </c>
      <c r="K1621" s="14" t="str">
        <f>HYPERLINK("http://twitter.com/download/android","Twitter for Android")</f>
        <v>Twitter for Android</v>
      </c>
      <c r="L1621" s="13">
        <v>101822</v>
      </c>
      <c r="M1621" s="13">
        <v>5999</v>
      </c>
      <c r="N1621" s="13">
        <v>979</v>
      </c>
      <c r="O1621" s="16" t="s">
        <v>26</v>
      </c>
      <c r="P1621" s="6">
        <v>39827.687893518516</v>
      </c>
      <c r="Q1621" s="17" t="s">
        <v>392</v>
      </c>
      <c r="R1621" s="18" t="s">
        <v>6131</v>
      </c>
      <c r="S1621" s="11" t="s">
        <v>6132</v>
      </c>
      <c r="T1621" s="12"/>
      <c r="U1621" s="10" t="str">
        <f>HYPERLINK("https://pbs.twimg.com/profile_images/1053557531111538693/SBAQ7f5C.jpg","View")</f>
        <v>View</v>
      </c>
    </row>
    <row r="1622" spans="1:21" ht="40.799999999999997">
      <c r="A1622" s="6">
        <v>43426.860671296294</v>
      </c>
      <c r="B1622" s="7" t="str">
        <f>HYPERLINK("https://twitter.com/el_pais","@el_pais")</f>
        <v>@el_pais</v>
      </c>
      <c r="C1622" s="8" t="s">
        <v>3501</v>
      </c>
      <c r="D1622" s="9" t="s">
        <v>6133</v>
      </c>
      <c r="E1622" s="10" t="str">
        <f>HYPERLINK("https://twitter.com/el_pais/status/1065691225209094150","1065691225209094150")</f>
        <v>1065691225209094150</v>
      </c>
      <c r="F1622" s="11" t="s">
        <v>6134</v>
      </c>
      <c r="G1622" s="12"/>
      <c r="H1622" s="12"/>
      <c r="I1622" s="13">
        <v>20</v>
      </c>
      <c r="J1622" s="13">
        <v>38</v>
      </c>
      <c r="K1622" s="14" t="str">
        <f>HYPERLINK("http://twitter.com","Twitter Web Client")</f>
        <v>Twitter Web Client</v>
      </c>
      <c r="L1622" s="13">
        <v>6718587</v>
      </c>
      <c r="M1622" s="13">
        <v>777</v>
      </c>
      <c r="N1622" s="13">
        <v>55940</v>
      </c>
      <c r="O1622" s="16" t="s">
        <v>26</v>
      </c>
      <c r="P1622" s="6">
        <v>39300.76399305556</v>
      </c>
      <c r="Q1622" s="17" t="s">
        <v>72</v>
      </c>
      <c r="R1622" s="18" t="s">
        <v>3502</v>
      </c>
      <c r="S1622" s="11" t="s">
        <v>3503</v>
      </c>
      <c r="T1622" s="12"/>
      <c r="U1622" s="10" t="str">
        <f>HYPERLINK("https://pbs.twimg.com/profile_images/815456059322036224/o_RQNEOh.jpg","View")</f>
        <v>View</v>
      </c>
    </row>
    <row r="1623" spans="1:21" ht="30.6">
      <c r="A1623" s="6">
        <v>43426.859907407408</v>
      </c>
      <c r="B1623" s="7" t="str">
        <f>HYPERLINK("https://twitter.com/errexerre","@errexerre")</f>
        <v>@errexerre</v>
      </c>
      <c r="C1623" s="8" t="s">
        <v>6135</v>
      </c>
      <c r="D1623" s="9" t="s">
        <v>5549</v>
      </c>
      <c r="E1623" s="10" t="str">
        <f>HYPERLINK("https://twitter.com/errexerre/status/1065690949756563456","1065690949756563456")</f>
        <v>1065690949756563456</v>
      </c>
      <c r="F1623" s="11" t="s">
        <v>5550</v>
      </c>
      <c r="G1623" s="12"/>
      <c r="H1623" s="12"/>
      <c r="I1623" s="13">
        <v>0</v>
      </c>
      <c r="J1623" s="13">
        <v>0</v>
      </c>
      <c r="K1623" s="14" t="str">
        <f>HYPERLINK("http://twitter.com/download/android","Twitter for Android")</f>
        <v>Twitter for Android</v>
      </c>
      <c r="L1623" s="13">
        <v>68</v>
      </c>
      <c r="M1623" s="13">
        <v>109</v>
      </c>
      <c r="N1623" s="13">
        <v>1</v>
      </c>
      <c r="O1623" s="15"/>
      <c r="P1623" s="6">
        <v>41117.430393518516</v>
      </c>
      <c r="Q1623" s="17" t="s">
        <v>6136</v>
      </c>
      <c r="R1623" s="18" t="s">
        <v>6137</v>
      </c>
      <c r="S1623" s="11" t="s">
        <v>6138</v>
      </c>
      <c r="T1623" s="12"/>
      <c r="U1623" s="10" t="str">
        <f>HYPERLINK("https://pbs.twimg.com/profile_images/2437846076/xx40wzel0glyrtrs4cc7.jpeg","View")</f>
        <v>View</v>
      </c>
    </row>
    <row r="1624" spans="1:21" ht="51">
      <c r="A1624" s="6">
        <v>43426.859849537039</v>
      </c>
      <c r="B1624" s="7" t="str">
        <f>HYPERLINK("https://twitter.com/Amanece007","@Amanece007")</f>
        <v>@Amanece007</v>
      </c>
      <c r="C1624" s="8" t="s">
        <v>6139</v>
      </c>
      <c r="D1624" s="9" t="s">
        <v>6140</v>
      </c>
      <c r="E1624" s="10" t="str">
        <f>HYPERLINK("https://twitter.com/Amanece007/status/1065690929884004353","1065690929884004353")</f>
        <v>1065690929884004353</v>
      </c>
      <c r="F1624" s="12"/>
      <c r="G1624" s="12"/>
      <c r="H1624" s="12"/>
      <c r="I1624" s="13">
        <v>0</v>
      </c>
      <c r="J1624" s="13">
        <v>0</v>
      </c>
      <c r="K1624" s="14" t="str">
        <f>HYPERLINK("http://twitter.com","Twitter Web Client")</f>
        <v>Twitter Web Client</v>
      </c>
      <c r="L1624" s="13">
        <v>5</v>
      </c>
      <c r="M1624" s="13">
        <v>57</v>
      </c>
      <c r="N1624" s="13">
        <v>1</v>
      </c>
      <c r="O1624" s="15"/>
      <c r="P1624" s="6">
        <v>43056.823460648149</v>
      </c>
      <c r="Q1624" s="12"/>
      <c r="R1624" s="18" t="s">
        <v>6141</v>
      </c>
      <c r="S1624" s="12"/>
      <c r="T1624" s="12"/>
      <c r="U1624" s="10" t="str">
        <f>HYPERLINK("https://pbs.twimg.com/profile_images/931597793428459520/1lvlkvz-.jpg","View")</f>
        <v>View</v>
      </c>
    </row>
    <row r="1625" spans="1:21" ht="30.6">
      <c r="A1625" s="6">
        <v>43426.859629629631</v>
      </c>
      <c r="B1625" s="7" t="str">
        <f>HYPERLINK("https://twitter.com/18dejulio36","@18dejulio36")</f>
        <v>@18dejulio36</v>
      </c>
      <c r="C1625" s="8" t="s">
        <v>6142</v>
      </c>
      <c r="D1625" s="9" t="s">
        <v>5549</v>
      </c>
      <c r="E1625" s="10" t="str">
        <f>HYPERLINK("https://twitter.com/18dejulio36/status/1065690849332334594","1065690849332334594")</f>
        <v>1065690849332334594</v>
      </c>
      <c r="F1625" s="11" t="s">
        <v>5550</v>
      </c>
      <c r="G1625" s="12"/>
      <c r="H1625" s="12"/>
      <c r="I1625" s="13">
        <v>0</v>
      </c>
      <c r="J1625" s="13">
        <v>0</v>
      </c>
      <c r="K1625" s="14" t="str">
        <f t="shared" ref="K1625:K1626" si="259">HYPERLINK("http://twitter.com/download/android","Twitter for Android")</f>
        <v>Twitter for Android</v>
      </c>
      <c r="L1625" s="13">
        <v>1320</v>
      </c>
      <c r="M1625" s="13">
        <v>641</v>
      </c>
      <c r="N1625" s="13">
        <v>83</v>
      </c>
      <c r="O1625" s="15"/>
      <c r="P1625" s="6">
        <v>41509.510497685187</v>
      </c>
      <c r="Q1625" s="17" t="s">
        <v>6143</v>
      </c>
      <c r="R1625" s="18" t="s">
        <v>6144</v>
      </c>
      <c r="S1625" s="12"/>
      <c r="T1625" s="12"/>
      <c r="U1625" s="10" t="str">
        <f>HYPERLINK("https://pbs.twimg.com/profile_images/647371484000845824/XCHRL0HG.jpg","View")</f>
        <v>View</v>
      </c>
    </row>
    <row r="1626" spans="1:21" ht="51">
      <c r="A1626" s="6">
        <v>43426.85936342593</v>
      </c>
      <c r="B1626" s="7" t="str">
        <f>HYPERLINK("https://twitter.com/pacoluisj","@pacoluisj")</f>
        <v>@pacoluisj</v>
      </c>
      <c r="C1626" s="8" t="s">
        <v>6145</v>
      </c>
      <c r="D1626" s="9" t="s">
        <v>6146</v>
      </c>
      <c r="E1626" s="10" t="str">
        <f>HYPERLINK("https://twitter.com/pacoluisj/status/1065690751957458944","1065690751957458944")</f>
        <v>1065690751957458944</v>
      </c>
      <c r="F1626" s="12"/>
      <c r="G1626" s="12"/>
      <c r="H1626" s="12"/>
      <c r="I1626" s="13">
        <v>3</v>
      </c>
      <c r="J1626" s="13">
        <v>5</v>
      </c>
      <c r="K1626" s="14" t="str">
        <f t="shared" si="259"/>
        <v>Twitter for Android</v>
      </c>
      <c r="L1626" s="13">
        <v>5127</v>
      </c>
      <c r="M1626" s="13">
        <v>5147</v>
      </c>
      <c r="N1626" s="13">
        <v>33</v>
      </c>
      <c r="O1626" s="15"/>
      <c r="P1626" s="6">
        <v>40259.792893518519</v>
      </c>
      <c r="Q1626" s="17" t="s">
        <v>28</v>
      </c>
      <c r="R1626" s="18" t="s">
        <v>6147</v>
      </c>
      <c r="S1626" s="12"/>
      <c r="T1626" s="12"/>
      <c r="U1626" s="10" t="str">
        <f>HYPERLINK("https://pbs.twimg.com/profile_images/978195787904634880/xKXdKqVW.jpg","View")</f>
        <v>View</v>
      </c>
    </row>
    <row r="1627" spans="1:21" ht="40.799999999999997">
      <c r="A1627" s="6">
        <v>43426.858749999999</v>
      </c>
      <c r="B1627" s="7" t="str">
        <f>HYPERLINK("https://twitter.com/KlosterMara","@KlosterMara")</f>
        <v>@KlosterMara</v>
      </c>
      <c r="C1627" s="8" t="s">
        <v>6148</v>
      </c>
      <c r="D1627" s="9" t="s">
        <v>640</v>
      </c>
      <c r="E1627" s="10" t="str">
        <f>HYPERLINK("https://twitter.com/KlosterMara/status/1065690529717993472","1065690529717993472")</f>
        <v>1065690529717993472</v>
      </c>
      <c r="F1627" s="11" t="s">
        <v>641</v>
      </c>
      <c r="G1627" s="12"/>
      <c r="H1627" s="12"/>
      <c r="I1627" s="13">
        <v>0</v>
      </c>
      <c r="J1627" s="13">
        <v>0</v>
      </c>
      <c r="K1627" s="14" t="str">
        <f>HYPERLINK("http://twitter.com/#!/download/ipad","Twitter for iPad")</f>
        <v>Twitter for iPad</v>
      </c>
      <c r="L1627" s="13">
        <v>1771</v>
      </c>
      <c r="M1627" s="13">
        <v>2115</v>
      </c>
      <c r="N1627" s="13">
        <v>23</v>
      </c>
      <c r="O1627" s="15"/>
      <c r="P1627" s="6">
        <v>41651.766805555555</v>
      </c>
      <c r="Q1627" s="17" t="s">
        <v>36</v>
      </c>
      <c r="R1627" s="18" t="s">
        <v>6149</v>
      </c>
      <c r="S1627" s="12"/>
      <c r="T1627" s="12"/>
      <c r="U1627" s="10" t="str">
        <f>HYPERLINK("https://pbs.twimg.com/profile_images/468176881091497984/DQbOrHyI.jpeg","View")</f>
        <v>View</v>
      </c>
    </row>
    <row r="1628" spans="1:21" ht="20.399999999999999">
      <c r="A1628" s="6">
        <v>43426.858495370368</v>
      </c>
      <c r="B1628" s="7" t="str">
        <f>HYPERLINK("https://twitter.com/Marhie_Curie","@Marhie_Curie")</f>
        <v>@Marhie_Curie</v>
      </c>
      <c r="C1628" s="8" t="s">
        <v>6150</v>
      </c>
      <c r="D1628" s="9" t="s">
        <v>2981</v>
      </c>
      <c r="E1628" s="10" t="str">
        <f>HYPERLINK("https://twitter.com/Marhie_Curie/status/1065690437506265088","1065690437506265088")</f>
        <v>1065690437506265088</v>
      </c>
      <c r="F1628" s="11" t="s">
        <v>6151</v>
      </c>
      <c r="G1628" s="12"/>
      <c r="H1628" s="12"/>
      <c r="I1628" s="13">
        <v>0</v>
      </c>
      <c r="J1628" s="13">
        <v>0</v>
      </c>
      <c r="K1628" s="14" t="str">
        <f t="shared" ref="K1628:K1629" si="260">HYPERLINK("http://twitter.com/download/android","Twitter for Android")</f>
        <v>Twitter for Android</v>
      </c>
      <c r="L1628" s="13">
        <v>77</v>
      </c>
      <c r="M1628" s="13">
        <v>213</v>
      </c>
      <c r="N1628" s="13">
        <v>0</v>
      </c>
      <c r="O1628" s="15"/>
      <c r="P1628" s="6">
        <v>43215.792951388888</v>
      </c>
      <c r="Q1628" s="17" t="s">
        <v>6152</v>
      </c>
      <c r="R1628" s="18" t="s">
        <v>6153</v>
      </c>
      <c r="S1628" s="12"/>
      <c r="T1628" s="12"/>
      <c r="U1628" s="10" t="str">
        <f>HYPERLINK("https://pbs.twimg.com/profile_images/1019312336908242944/gn2xW_js.jpg","View")</f>
        <v>View</v>
      </c>
    </row>
    <row r="1629" spans="1:21" ht="30.6">
      <c r="A1629" s="6">
        <v>43426.858113425929</v>
      </c>
      <c r="B1629" s="7" t="str">
        <f>HYPERLINK("https://twitter.com/ZeusSF","@ZeusSF")</f>
        <v>@ZeusSF</v>
      </c>
      <c r="C1629" s="8" t="s">
        <v>6154</v>
      </c>
      <c r="D1629" s="9" t="s">
        <v>6155</v>
      </c>
      <c r="E1629" s="10" t="str">
        <f>HYPERLINK("https://twitter.com/ZeusSF/status/1065690297768861696","1065690297768861696")</f>
        <v>1065690297768861696</v>
      </c>
      <c r="F1629" s="12"/>
      <c r="G1629" s="11" t="s">
        <v>6156</v>
      </c>
      <c r="H1629" s="12"/>
      <c r="I1629" s="13">
        <v>1</v>
      </c>
      <c r="J1629" s="13">
        <v>3</v>
      </c>
      <c r="K1629" s="14" t="str">
        <f t="shared" si="260"/>
        <v>Twitter for Android</v>
      </c>
      <c r="L1629" s="13">
        <v>443</v>
      </c>
      <c r="M1629" s="13">
        <v>468</v>
      </c>
      <c r="N1629" s="13">
        <v>5</v>
      </c>
      <c r="O1629" s="15"/>
      <c r="P1629" s="6">
        <v>40469.096597222218</v>
      </c>
      <c r="Q1629" s="17" t="s">
        <v>6157</v>
      </c>
      <c r="R1629" s="18" t="s">
        <v>6158</v>
      </c>
      <c r="S1629" s="12"/>
      <c r="T1629" s="12"/>
      <c r="U1629" s="10" t="str">
        <f>HYPERLINK("https://pbs.twimg.com/profile_images/920755882174107650/YSzAnvXH.jpg","View")</f>
        <v>View</v>
      </c>
    </row>
    <row r="1630" spans="1:21" ht="20.399999999999999">
      <c r="A1630" s="6">
        <v>43426.857800925922</v>
      </c>
      <c r="B1630" s="7" t="str">
        <f>HYPERLINK("https://twitter.com/phosquito","@phosquito")</f>
        <v>@phosquito</v>
      </c>
      <c r="C1630" s="8" t="s">
        <v>6159</v>
      </c>
      <c r="D1630" s="9" t="s">
        <v>1143</v>
      </c>
      <c r="E1630" s="10" t="str">
        <f>HYPERLINK("https://twitter.com/phosquito/status/1065690186204528640","1065690186204528640")</f>
        <v>1065690186204528640</v>
      </c>
      <c r="F1630" s="11" t="s">
        <v>6160</v>
      </c>
      <c r="G1630" s="12"/>
      <c r="H1630" s="12"/>
      <c r="I1630" s="13">
        <v>0</v>
      </c>
      <c r="J1630" s="13">
        <v>0</v>
      </c>
      <c r="K1630" s="14" t="str">
        <f t="shared" ref="K1630:K1632" si="261">HYPERLINK("http://twitter.com","Twitter Web Client")</f>
        <v>Twitter Web Client</v>
      </c>
      <c r="L1630" s="13">
        <v>82</v>
      </c>
      <c r="M1630" s="13">
        <v>1434</v>
      </c>
      <c r="N1630" s="13">
        <v>1</v>
      </c>
      <c r="O1630" s="15"/>
      <c r="P1630" s="6">
        <v>41253.516342592593</v>
      </c>
      <c r="Q1630" s="12"/>
      <c r="R1630" s="19"/>
      <c r="S1630" s="12"/>
      <c r="T1630" s="12"/>
      <c r="U1630" s="10" t="str">
        <f>HYPERLINK("https://pbs.twimg.com/profile_images/2962017015/deaa4c8225361d1499f7facb1381a2d7.jpeg","View")</f>
        <v>View</v>
      </c>
    </row>
    <row r="1631" spans="1:21" ht="30.6">
      <c r="A1631" s="6">
        <v>43426.857465277775</v>
      </c>
      <c r="B1631" s="7" t="str">
        <f>HYPERLINK("https://twitter.com/FlixSnchezCabel","@FlixSnchezCabel")</f>
        <v>@FlixSnchezCabel</v>
      </c>
      <c r="C1631" s="8" t="s">
        <v>6161</v>
      </c>
      <c r="D1631" s="9" t="s">
        <v>2981</v>
      </c>
      <c r="E1631" s="10" t="str">
        <f>HYPERLINK("https://twitter.com/FlixSnchezCabel/status/1065690064053825538","1065690064053825538")</f>
        <v>1065690064053825538</v>
      </c>
      <c r="F1631" s="11" t="s">
        <v>6162</v>
      </c>
      <c r="G1631" s="12"/>
      <c r="H1631" s="12"/>
      <c r="I1631" s="13">
        <v>0</v>
      </c>
      <c r="J1631" s="13">
        <v>0</v>
      </c>
      <c r="K1631" s="14" t="str">
        <f t="shared" si="261"/>
        <v>Twitter Web Client</v>
      </c>
      <c r="L1631" s="13">
        <v>813</v>
      </c>
      <c r="M1631" s="13">
        <v>818</v>
      </c>
      <c r="N1631" s="13">
        <v>8</v>
      </c>
      <c r="O1631" s="15"/>
      <c r="P1631" s="6">
        <v>41283.885578703703</v>
      </c>
      <c r="Q1631" s="17" t="s">
        <v>202</v>
      </c>
      <c r="R1631" s="18" t="s">
        <v>6163</v>
      </c>
      <c r="S1631" s="12"/>
      <c r="T1631" s="12"/>
      <c r="U1631" s="10" t="str">
        <f>HYPERLINK("https://pbs.twimg.com/profile_images/1040917668495339521/sJT5c66l.jpg","View")</f>
        <v>View</v>
      </c>
    </row>
    <row r="1632" spans="1:21" ht="20.399999999999999">
      <c r="A1632" s="6">
        <v>43426.857210648144</v>
      </c>
      <c r="B1632" s="7" t="str">
        <f>HYPERLINK("https://twitter.com/emaringiro","@emaringiro")</f>
        <v>@emaringiro</v>
      </c>
      <c r="C1632" s="8" t="s">
        <v>5302</v>
      </c>
      <c r="D1632" s="9" t="s">
        <v>6164</v>
      </c>
      <c r="E1632" s="10" t="str">
        <f>HYPERLINK("https://twitter.com/emaringiro/status/1065689973809209346","1065689973809209346")</f>
        <v>1065689973809209346</v>
      </c>
      <c r="F1632" s="11" t="s">
        <v>6165</v>
      </c>
      <c r="G1632" s="12"/>
      <c r="H1632" s="12"/>
      <c r="I1632" s="13">
        <v>0</v>
      </c>
      <c r="J1632" s="13">
        <v>0</v>
      </c>
      <c r="K1632" s="14" t="str">
        <f t="shared" si="261"/>
        <v>Twitter Web Client</v>
      </c>
      <c r="L1632" s="13">
        <v>399</v>
      </c>
      <c r="M1632" s="13">
        <v>877</v>
      </c>
      <c r="N1632" s="13">
        <v>4</v>
      </c>
      <c r="O1632" s="15"/>
      <c r="P1632" s="6">
        <v>40556.412905092591</v>
      </c>
      <c r="Q1632" s="17" t="s">
        <v>2506</v>
      </c>
      <c r="R1632" s="18" t="s">
        <v>5305</v>
      </c>
      <c r="S1632" s="11" t="s">
        <v>5306</v>
      </c>
      <c r="T1632" s="12"/>
      <c r="U1632" s="10" t="str">
        <f>HYPERLINK("https://pbs.twimg.com/profile_images/741110391074394112/iUm8Wyil.jpg","View")</f>
        <v>View</v>
      </c>
    </row>
    <row r="1633" spans="1:21" ht="40.799999999999997">
      <c r="A1633" s="6">
        <v>43426.857164351852</v>
      </c>
      <c r="B1633" s="7" t="str">
        <f>HYPERLINK("https://twitter.com/wikinoticias","@wikinoticias")</f>
        <v>@wikinoticias</v>
      </c>
      <c r="C1633" s="8" t="s">
        <v>4659</v>
      </c>
      <c r="D1633" s="9" t="s">
        <v>6166</v>
      </c>
      <c r="E1633" s="10" t="str">
        <f>HYPERLINK("https://twitter.com/wikinoticias/status/1065689956352315392","1065689956352315392")</f>
        <v>1065689956352315392</v>
      </c>
      <c r="F1633" s="12"/>
      <c r="G1633" s="12"/>
      <c r="H1633" s="12"/>
      <c r="I1633" s="13">
        <v>4</v>
      </c>
      <c r="J1633" s="13">
        <v>2</v>
      </c>
      <c r="K1633" s="14" t="str">
        <f>HYPERLINK("https://about.twitter.com/products/tweetdeck","TweetDeck")</f>
        <v>TweetDeck</v>
      </c>
      <c r="L1633" s="13">
        <v>103167</v>
      </c>
      <c r="M1633" s="13">
        <v>1151</v>
      </c>
      <c r="N1633" s="13">
        <v>1450</v>
      </c>
      <c r="O1633" s="15"/>
      <c r="P1633" s="6">
        <v>39713.258703703701</v>
      </c>
      <c r="Q1633" s="17" t="s">
        <v>4661</v>
      </c>
      <c r="R1633" s="18" t="s">
        <v>4662</v>
      </c>
      <c r="S1633" s="11" t="s">
        <v>4663</v>
      </c>
      <c r="T1633" s="12"/>
      <c r="U1633" s="10" t="str">
        <f>HYPERLINK("https://pbs.twimg.com/profile_images/1052247542145196032/YXMuAn3k.jpg","View")</f>
        <v>View</v>
      </c>
    </row>
    <row r="1634" spans="1:21" ht="20.399999999999999">
      <c r="A1634" s="6">
        <v>43426.856678240743</v>
      </c>
      <c r="B1634" s="7" t="str">
        <f>HYPERLINK("https://twitter.com/GUADIATO","@GUADIATO")</f>
        <v>@GUADIATO</v>
      </c>
      <c r="C1634" s="8" t="s">
        <v>6167</v>
      </c>
      <c r="D1634" s="9" t="s">
        <v>2981</v>
      </c>
      <c r="E1634" s="10" t="str">
        <f>HYPERLINK("https://twitter.com/GUADIATO/status/1065689780934053888","1065689780934053888")</f>
        <v>1065689780934053888</v>
      </c>
      <c r="F1634" s="11" t="s">
        <v>6168</v>
      </c>
      <c r="G1634" s="12"/>
      <c r="H1634" s="12"/>
      <c r="I1634" s="13">
        <v>0</v>
      </c>
      <c r="J1634" s="13">
        <v>0</v>
      </c>
      <c r="K1634" s="14" t="str">
        <f t="shared" ref="K1634:K1635" si="262">HYPERLINK("http://twitter.com","Twitter Web Client")</f>
        <v>Twitter Web Client</v>
      </c>
      <c r="L1634" s="13">
        <v>207</v>
      </c>
      <c r="M1634" s="13">
        <v>316</v>
      </c>
      <c r="N1634" s="13">
        <v>6</v>
      </c>
      <c r="O1634" s="15"/>
      <c r="P1634" s="6">
        <v>40359.756840277776</v>
      </c>
      <c r="Q1634" s="17" t="s">
        <v>6169</v>
      </c>
      <c r="R1634" s="18" t="s">
        <v>6170</v>
      </c>
      <c r="S1634" s="11" t="s">
        <v>6171</v>
      </c>
      <c r="T1634" s="12"/>
      <c r="U1634" s="10" t="str">
        <f>HYPERLINK("https://pbs.twimg.com/profile_images/826472758792036352/nsyElfsL.jpg","View")</f>
        <v>View</v>
      </c>
    </row>
    <row r="1635" spans="1:21" ht="51">
      <c r="A1635" s="6">
        <v>43426.856469907405</v>
      </c>
      <c r="B1635" s="7" t="str">
        <f>HYPERLINK("https://twitter.com/clementepolo","@clementepolo")</f>
        <v>@clementepolo</v>
      </c>
      <c r="C1635" s="8" t="s">
        <v>6172</v>
      </c>
      <c r="D1635" s="9" t="s">
        <v>6173</v>
      </c>
      <c r="E1635" s="10" t="str">
        <f>HYPERLINK("https://twitter.com/clementepolo/status/1065689703549202432","1065689703549202432")</f>
        <v>1065689703549202432</v>
      </c>
      <c r="F1635" s="11" t="s">
        <v>6174</v>
      </c>
      <c r="G1635" s="12"/>
      <c r="H1635" s="12"/>
      <c r="I1635" s="13">
        <v>1</v>
      </c>
      <c r="J1635" s="13">
        <v>1</v>
      </c>
      <c r="K1635" s="14" t="str">
        <f t="shared" si="262"/>
        <v>Twitter Web Client</v>
      </c>
      <c r="L1635" s="13">
        <v>489</v>
      </c>
      <c r="M1635" s="13">
        <v>127</v>
      </c>
      <c r="N1635" s="13">
        <v>16</v>
      </c>
      <c r="O1635" s="15"/>
      <c r="P1635" s="6">
        <v>40650.010358796295</v>
      </c>
      <c r="Q1635" s="12"/>
      <c r="R1635" s="19"/>
      <c r="S1635" s="11" t="s">
        <v>6175</v>
      </c>
      <c r="T1635" s="12"/>
      <c r="U1635" s="10" t="str">
        <f>HYPERLINK("https://pbs.twimg.com/profile_images/2016949083/clemente_polo_reducida.JPG","View")</f>
        <v>View</v>
      </c>
    </row>
    <row r="1636" spans="1:21" ht="20.399999999999999">
      <c r="A1636" s="6">
        <v>43426.856249999997</v>
      </c>
      <c r="B1636" s="7" t="str">
        <f>HYPERLINK("https://twitter.com/broshit_","@broshit_")</f>
        <v>@broshit_</v>
      </c>
      <c r="C1636" s="8" t="s">
        <v>6176</v>
      </c>
      <c r="D1636" s="9" t="s">
        <v>6177</v>
      </c>
      <c r="E1636" s="10" t="str">
        <f>HYPERLINK("https://twitter.com/broshit_/status/1065689625568714752","1065689625568714752")</f>
        <v>1065689625568714752</v>
      </c>
      <c r="F1636" s="12"/>
      <c r="G1636" s="12"/>
      <c r="H1636" s="12"/>
      <c r="I1636" s="13">
        <v>0</v>
      </c>
      <c r="J1636" s="13">
        <v>0</v>
      </c>
      <c r="K1636" s="14" t="str">
        <f>HYPERLINK("http://twitter.com/download/android","Twitter for Android")</f>
        <v>Twitter for Android</v>
      </c>
      <c r="L1636" s="13">
        <v>754</v>
      </c>
      <c r="M1636" s="13">
        <v>151</v>
      </c>
      <c r="N1636" s="13">
        <v>10</v>
      </c>
      <c r="O1636" s="15"/>
      <c r="P1636" s="6">
        <v>41866.867025462961</v>
      </c>
      <c r="Q1636" s="17" t="s">
        <v>3507</v>
      </c>
      <c r="R1636" s="18" t="s">
        <v>6178</v>
      </c>
      <c r="S1636" s="12"/>
      <c r="T1636" s="12"/>
      <c r="U1636" s="10" t="str">
        <f>HYPERLINK("https://pbs.twimg.com/profile_images/1003091472571424770/BXzYp8q0.jpg","View")</f>
        <v>View</v>
      </c>
    </row>
    <row r="1637" spans="1:21" ht="61.2">
      <c r="A1637" s="6">
        <v>43426.854571759264</v>
      </c>
      <c r="B1637" s="7" t="str">
        <f>HYPERLINK("https://twitter.com/Botulus","@Botulus")</f>
        <v>@Botulus</v>
      </c>
      <c r="C1637" s="8" t="s">
        <v>6102</v>
      </c>
      <c r="D1637" s="9" t="s">
        <v>6103</v>
      </c>
      <c r="E1637" s="10" t="str">
        <f>HYPERLINK("https://twitter.com/Botulus/status/1065689014953488384","1065689014953488384")</f>
        <v>1065689014953488384</v>
      </c>
      <c r="F1637" s="11" t="s">
        <v>6105</v>
      </c>
      <c r="G1637" s="11" t="s">
        <v>6106</v>
      </c>
      <c r="H1637" s="12"/>
      <c r="I1637" s="13">
        <v>1</v>
      </c>
      <c r="J1637" s="13">
        <v>1</v>
      </c>
      <c r="K1637" s="14" t="str">
        <f>HYPERLINK("http://twitter.com/download/iphone","Twitter for iPhone")</f>
        <v>Twitter for iPhone</v>
      </c>
      <c r="L1637" s="13">
        <v>639</v>
      </c>
      <c r="M1637" s="13">
        <v>2070</v>
      </c>
      <c r="N1637" s="13">
        <v>24</v>
      </c>
      <c r="O1637" s="15"/>
      <c r="P1637" s="6">
        <v>40452.08253472222</v>
      </c>
      <c r="Q1637" s="17" t="s">
        <v>28</v>
      </c>
      <c r="R1637" s="18" t="s">
        <v>6107</v>
      </c>
      <c r="S1637" s="11" t="s">
        <v>6108</v>
      </c>
      <c r="T1637" s="12"/>
      <c r="U1637" s="10" t="str">
        <f>HYPERLINK("https://pbs.twimg.com/profile_images/1014593563903086598/EjzZf4Hr.jpg","View")</f>
        <v>View</v>
      </c>
    </row>
    <row r="1638" spans="1:21" ht="30.6">
      <c r="A1638" s="6">
        <v>43426.854270833333</v>
      </c>
      <c r="B1638" s="7" t="str">
        <f>HYPERLINK("https://twitter.com/DLasAmericas","@DLasAmericas")</f>
        <v>@DLasAmericas</v>
      </c>
      <c r="C1638" s="8" t="s">
        <v>5091</v>
      </c>
      <c r="D1638" s="9" t="s">
        <v>6179</v>
      </c>
      <c r="E1638" s="10" t="str">
        <f>HYPERLINK("https://twitter.com/DLasAmericas/status/1065688907365474305","1065688907365474305")</f>
        <v>1065688907365474305</v>
      </c>
      <c r="F1638" s="11" t="s">
        <v>1672</v>
      </c>
      <c r="G1638" s="12"/>
      <c r="H1638" s="12"/>
      <c r="I1638" s="13">
        <v>0</v>
      </c>
      <c r="J1638" s="13">
        <v>0</v>
      </c>
      <c r="K1638" s="14" t="str">
        <f>HYPERLINK("https://www.hootsuite.com","Hootsuite Inc.")</f>
        <v>Hootsuite Inc.</v>
      </c>
      <c r="L1638" s="13">
        <v>130807</v>
      </c>
      <c r="M1638" s="13">
        <v>12449</v>
      </c>
      <c r="N1638" s="13">
        <v>1355</v>
      </c>
      <c r="O1638" s="16" t="s">
        <v>26</v>
      </c>
      <c r="P1638" s="6">
        <v>41253.139224537037</v>
      </c>
      <c r="Q1638" s="17" t="s">
        <v>5093</v>
      </c>
      <c r="R1638" s="18" t="s">
        <v>5094</v>
      </c>
      <c r="S1638" s="11" t="s">
        <v>5095</v>
      </c>
      <c r="T1638" s="12"/>
      <c r="U1638" s="10" t="str">
        <f>HYPERLINK("https://pbs.twimg.com/profile_images/1018890652246036480/Wmox8tL4.jpg","View")</f>
        <v>View</v>
      </c>
    </row>
    <row r="1639" spans="1:21" ht="30.6">
      <c r="A1639" s="6">
        <v>43426.854016203702</v>
      </c>
      <c r="B1639" s="7" t="str">
        <f>HYPERLINK("https://twitter.com/DominicanHerald","@DominicanHerald")</f>
        <v>@DominicanHerald</v>
      </c>
      <c r="C1639" s="8" t="s">
        <v>6180</v>
      </c>
      <c r="D1639" s="9" t="s">
        <v>6181</v>
      </c>
      <c r="E1639" s="10" t="str">
        <f>HYPERLINK("https://twitter.com/DominicanHerald/status/1065688814390251521","1065688814390251521")</f>
        <v>1065688814390251521</v>
      </c>
      <c r="F1639" s="11" t="s">
        <v>6182</v>
      </c>
      <c r="G1639" s="12"/>
      <c r="H1639" s="12"/>
      <c r="I1639" s="13">
        <v>0</v>
      </c>
      <c r="J1639" s="13">
        <v>0</v>
      </c>
      <c r="K1639" s="14" t="str">
        <f>HYPERLINK("https://ifttt.com","IFTTT")</f>
        <v>IFTTT</v>
      </c>
      <c r="L1639" s="13">
        <v>1035</v>
      </c>
      <c r="M1639" s="13">
        <v>33</v>
      </c>
      <c r="N1639" s="13">
        <v>14</v>
      </c>
      <c r="O1639" s="15"/>
      <c r="P1639" s="6">
        <v>42105.815416666665</v>
      </c>
      <c r="Q1639" s="17" t="s">
        <v>6183</v>
      </c>
      <c r="R1639" s="18" t="s">
        <v>6184</v>
      </c>
      <c r="S1639" s="11" t="s">
        <v>6185</v>
      </c>
      <c r="T1639" s="12"/>
      <c r="U1639" s="10" t="str">
        <f>HYPERLINK("https://pbs.twimg.com/profile_images/879155776559894528/QDRTmwnR.jpg","View")</f>
        <v>View</v>
      </c>
    </row>
    <row r="1640" spans="1:21" ht="81.599999999999994">
      <c r="A1640" s="6">
        <v>43426.853090277778</v>
      </c>
      <c r="B1640" s="7" t="str">
        <f>HYPERLINK("https://twitter.com/Nikibarragan","@Nikibarragan")</f>
        <v>@Nikibarragan</v>
      </c>
      <c r="C1640" s="8" t="s">
        <v>6186</v>
      </c>
      <c r="D1640" s="9" t="s">
        <v>6187</v>
      </c>
      <c r="E1640" s="10" t="str">
        <f>HYPERLINK("https://twitter.com/Nikibarragan/status/1065688480674734085","1065688480674734085")</f>
        <v>1065688480674734085</v>
      </c>
      <c r="F1640" s="11" t="s">
        <v>3761</v>
      </c>
      <c r="G1640" s="11" t="s">
        <v>3762</v>
      </c>
      <c r="H1640" s="12"/>
      <c r="I1640" s="13">
        <v>0</v>
      </c>
      <c r="J1640" s="13">
        <v>1</v>
      </c>
      <c r="K1640" s="14" t="str">
        <f>HYPERLINK("http://twitter.com/download/android","Twitter for Android")</f>
        <v>Twitter for Android</v>
      </c>
      <c r="L1640" s="13">
        <v>195</v>
      </c>
      <c r="M1640" s="13">
        <v>510</v>
      </c>
      <c r="N1640" s="13">
        <v>1</v>
      </c>
      <c r="O1640" s="15"/>
      <c r="P1640" s="6">
        <v>40817.826192129629</v>
      </c>
      <c r="Q1640" s="12"/>
      <c r="R1640" s="19"/>
      <c r="S1640" s="12"/>
      <c r="T1640" s="12"/>
      <c r="U1640" s="10" t="str">
        <f>HYPERLINK("https://pbs.twimg.com/profile_images/1584770520/333848_2309694915626_1646945379_2358164_588033269_o.jpg","View")</f>
        <v>View</v>
      </c>
    </row>
    <row r="1641" spans="1:21" ht="30.6">
      <c r="A1641" s="6">
        <v>43426.852523148147</v>
      </c>
      <c r="B1641" s="7" t="str">
        <f>HYPERLINK("https://twitter.com/Ole2006Superole","@Ole2006Superole")</f>
        <v>@Ole2006Superole</v>
      </c>
      <c r="C1641" s="8" t="s">
        <v>674</v>
      </c>
      <c r="D1641" s="9" t="s">
        <v>6188</v>
      </c>
      <c r="E1641" s="10" t="str">
        <f>HYPERLINK("https://twitter.com/Ole2006Superole/status/1065688273559928834","1065688273559928834")</f>
        <v>1065688273559928834</v>
      </c>
      <c r="F1641" s="11" t="s">
        <v>5944</v>
      </c>
      <c r="G1641" s="12"/>
      <c r="H1641" s="12"/>
      <c r="I1641" s="13">
        <v>0</v>
      </c>
      <c r="J1641" s="13">
        <v>0</v>
      </c>
      <c r="K1641" s="14" t="str">
        <f>HYPERLINK("http://twitter.com/download/iphone","Twitter for iPhone")</f>
        <v>Twitter for iPhone</v>
      </c>
      <c r="L1641" s="13">
        <v>76</v>
      </c>
      <c r="M1641" s="13">
        <v>46</v>
      </c>
      <c r="N1641" s="13">
        <v>11</v>
      </c>
      <c r="O1641" s="15"/>
      <c r="P1641" s="6">
        <v>40872.862395833334</v>
      </c>
      <c r="Q1641" s="17" t="s">
        <v>28</v>
      </c>
      <c r="R1641" s="18" t="s">
        <v>676</v>
      </c>
      <c r="S1641" s="12"/>
      <c r="T1641" s="12"/>
      <c r="U1641" s="10" t="str">
        <f>HYPERLINK("https://pbs.twimg.com/profile_images/3682159450/181ede3124f85ddd5d29f8fe1e7ea820.jpeg","View")</f>
        <v>View</v>
      </c>
    </row>
    <row r="1642" spans="1:21" ht="40.799999999999997">
      <c r="A1642" s="6">
        <v>43426.852048611108</v>
      </c>
      <c r="B1642" s="7" t="str">
        <f>HYPERLINK("https://twitter.com/Rafael_Lora_","@Rafael_Lora_")</f>
        <v>@Rafael_Lora_</v>
      </c>
      <c r="C1642" s="8" t="s">
        <v>6189</v>
      </c>
      <c r="D1642" s="9" t="s">
        <v>6190</v>
      </c>
      <c r="E1642" s="10" t="str">
        <f>HYPERLINK("https://twitter.com/Rafael_Lora_/status/1065688102935687168","1065688102935687168")</f>
        <v>1065688102935687168</v>
      </c>
      <c r="F1642" s="11" t="s">
        <v>3369</v>
      </c>
      <c r="G1642" s="12"/>
      <c r="H1642" s="12"/>
      <c r="I1642" s="13">
        <v>0</v>
      </c>
      <c r="J1642" s="13">
        <v>0</v>
      </c>
      <c r="K1642" s="14" t="str">
        <f t="shared" ref="K1642:K1643" si="263">HYPERLINK("http://twitter.com","Twitter Web Client")</f>
        <v>Twitter Web Client</v>
      </c>
      <c r="L1642" s="13">
        <v>37</v>
      </c>
      <c r="M1642" s="13">
        <v>56</v>
      </c>
      <c r="N1642" s="13">
        <v>0</v>
      </c>
      <c r="O1642" s="15"/>
      <c r="P1642" s="6">
        <v>42888.930613425924</v>
      </c>
      <c r="Q1642" s="12"/>
      <c r="R1642" s="18" t="s">
        <v>6191</v>
      </c>
      <c r="S1642" s="12"/>
      <c r="T1642" s="12"/>
      <c r="U1642" s="10" t="str">
        <f>HYPERLINK("https://pbs.twimg.com/profile_images/870748106362585088/VMoc0ka9.jpg","View")</f>
        <v>View</v>
      </c>
    </row>
    <row r="1643" spans="1:21" ht="30.6">
      <c r="A1643" s="6">
        <v>43426.851504629631</v>
      </c>
      <c r="B1643" s="7" t="str">
        <f>HYPERLINK("https://twitter.com/ancabocristiano","@ancabocristiano")</f>
        <v>@ancabocristiano</v>
      </c>
      <c r="C1643" s="8" t="s">
        <v>255</v>
      </c>
      <c r="D1643" s="9" t="s">
        <v>3452</v>
      </c>
      <c r="E1643" s="10" t="str">
        <f>HYPERLINK("https://twitter.com/ancabocristiano/status/1065687904826126336","1065687904826126336")</f>
        <v>1065687904826126336</v>
      </c>
      <c r="F1643" s="11" t="s">
        <v>3453</v>
      </c>
      <c r="G1643" s="12"/>
      <c r="H1643" s="12"/>
      <c r="I1643" s="13">
        <v>0</v>
      </c>
      <c r="J1643" s="13">
        <v>0</v>
      </c>
      <c r="K1643" s="14" t="str">
        <f t="shared" si="263"/>
        <v>Twitter Web Client</v>
      </c>
      <c r="L1643" s="13">
        <v>725</v>
      </c>
      <c r="M1643" s="13">
        <v>1174</v>
      </c>
      <c r="N1643" s="13">
        <v>17</v>
      </c>
      <c r="O1643" s="15"/>
      <c r="P1643" s="6">
        <v>40589.012638888889</v>
      </c>
      <c r="Q1643" s="17" t="s">
        <v>262</v>
      </c>
      <c r="R1643" s="18" t="s">
        <v>263</v>
      </c>
      <c r="S1643" s="12"/>
      <c r="T1643" s="12"/>
      <c r="U1643" s="10" t="str">
        <f>HYPERLINK("https://pbs.twimg.com/profile_images/1498277119/Antonio_Twiter.JPG","View")</f>
        <v>View</v>
      </c>
    </row>
    <row r="1644" spans="1:21" ht="30.6">
      <c r="A1644" s="6">
        <v>43426.851261574076</v>
      </c>
      <c r="B1644" s="7" t="str">
        <f>HYPERLINK("https://twitter.com/vicbaguer","@vicbaguer")</f>
        <v>@vicbaguer</v>
      </c>
      <c r="C1644" s="8" t="s">
        <v>6192</v>
      </c>
      <c r="D1644" s="9" t="s">
        <v>1330</v>
      </c>
      <c r="E1644" s="10" t="str">
        <f>HYPERLINK("https://twitter.com/vicbaguer/status/1065687815265103878","1065687815265103878")</f>
        <v>1065687815265103878</v>
      </c>
      <c r="F1644" s="11" t="s">
        <v>1331</v>
      </c>
      <c r="G1644" s="12"/>
      <c r="H1644" s="12"/>
      <c r="I1644" s="13">
        <v>0</v>
      </c>
      <c r="J1644" s="13">
        <v>0</v>
      </c>
      <c r="K1644" s="14" t="str">
        <f t="shared" ref="K1644:K1645" si="264">HYPERLINK("http://twitter.com/download/android","Twitter for Android")</f>
        <v>Twitter for Android</v>
      </c>
      <c r="L1644" s="13">
        <v>564</v>
      </c>
      <c r="M1644" s="13">
        <v>622</v>
      </c>
      <c r="N1644" s="13">
        <v>4</v>
      </c>
      <c r="O1644" s="15"/>
      <c r="P1644" s="6">
        <v>43025.954618055555</v>
      </c>
      <c r="Q1644" s="17" t="s">
        <v>6193</v>
      </c>
      <c r="R1644" s="18" t="s">
        <v>6194</v>
      </c>
      <c r="S1644" s="12"/>
      <c r="T1644" s="12"/>
      <c r="U1644" s="10" t="str">
        <f>HYPERLINK("https://pbs.twimg.com/profile_images/998625983434391552/zMQe5s7O.jpg","View")</f>
        <v>View</v>
      </c>
    </row>
    <row r="1645" spans="1:21" ht="30.6">
      <c r="A1645" s="6">
        <v>43426.850810185184</v>
      </c>
      <c r="B1645" s="7" t="str">
        <f>HYPERLINK("https://twitter.com/mikos1111111","@mikos1111111")</f>
        <v>@mikos1111111</v>
      </c>
      <c r="C1645" s="8" t="s">
        <v>6195</v>
      </c>
      <c r="D1645" s="9" t="s">
        <v>6196</v>
      </c>
      <c r="E1645" s="10" t="str">
        <f>HYPERLINK("https://twitter.com/mikos1111111/status/1065687651808886786","1065687651808886786")</f>
        <v>1065687651808886786</v>
      </c>
      <c r="F1645" s="12"/>
      <c r="G1645" s="12"/>
      <c r="H1645" s="12"/>
      <c r="I1645" s="13">
        <v>0</v>
      </c>
      <c r="J1645" s="13">
        <v>0</v>
      </c>
      <c r="K1645" s="14" t="str">
        <f t="shared" si="264"/>
        <v>Twitter for Android</v>
      </c>
      <c r="L1645" s="13">
        <v>216</v>
      </c>
      <c r="M1645" s="13">
        <v>590</v>
      </c>
      <c r="N1645" s="13">
        <v>7</v>
      </c>
      <c r="O1645" s="15"/>
      <c r="P1645" s="6">
        <v>42547.95621527778</v>
      </c>
      <c r="Q1645" s="12"/>
      <c r="R1645" s="18" t="s">
        <v>6197</v>
      </c>
      <c r="S1645" s="12"/>
      <c r="T1645" s="12"/>
      <c r="U1645" s="10" t="str">
        <f>HYPERLINK("https://pbs.twimg.com/profile_images/975635270958747649/DV6y_WF1.jpg","View")</f>
        <v>View</v>
      </c>
    </row>
    <row r="1646" spans="1:21" ht="20.399999999999999">
      <c r="A1646" s="6">
        <v>43426.850798611107</v>
      </c>
      <c r="B1646" s="7" t="str">
        <f>HYPERLINK("https://twitter.com/sansalvador100","@sansalvador100")</f>
        <v>@sansalvador100</v>
      </c>
      <c r="C1646" s="8" t="s">
        <v>6199</v>
      </c>
      <c r="D1646" s="9" t="s">
        <v>6200</v>
      </c>
      <c r="E1646" s="10" t="str">
        <f>HYPERLINK("https://twitter.com/sansalvador100/status/1065687647421640705","1065687647421640705")</f>
        <v>1065687647421640705</v>
      </c>
      <c r="F1646" s="11" t="s">
        <v>607</v>
      </c>
      <c r="G1646" s="12"/>
      <c r="H1646" s="12"/>
      <c r="I1646" s="13">
        <v>1</v>
      </c>
      <c r="J1646" s="13">
        <v>0</v>
      </c>
      <c r="K1646" s="14" t="str">
        <f>HYPERLINK("http://twitter.com/download/iphone","Twitter for iPhone")</f>
        <v>Twitter for iPhone</v>
      </c>
      <c r="L1646" s="13">
        <v>4710</v>
      </c>
      <c r="M1646" s="13">
        <v>4751</v>
      </c>
      <c r="N1646" s="13">
        <v>66</v>
      </c>
      <c r="O1646" s="15"/>
      <c r="P1646" s="6">
        <v>40804.872789351852</v>
      </c>
      <c r="Q1646" s="17" t="s">
        <v>3083</v>
      </c>
      <c r="R1646" s="18" t="s">
        <v>6203</v>
      </c>
      <c r="S1646" s="12"/>
      <c r="T1646" s="12"/>
      <c r="U1646" s="10" t="str">
        <f>HYPERLINK("https://pbs.twimg.com/profile_images/1059561133521145857/XKJwey-t.jpg","View")</f>
        <v>View</v>
      </c>
    </row>
    <row r="1647" spans="1:21" ht="30.6">
      <c r="A1647" s="6">
        <v>43426.850578703699</v>
      </c>
      <c r="B1647" s="7" t="str">
        <f>HYPERLINK("https://twitter.com/ancabocristiano","@ancabocristiano")</f>
        <v>@ancabocristiano</v>
      </c>
      <c r="C1647" s="8" t="s">
        <v>255</v>
      </c>
      <c r="D1647" s="9" t="s">
        <v>4744</v>
      </c>
      <c r="E1647" s="10" t="str">
        <f>HYPERLINK("https://twitter.com/ancabocristiano/status/1065687568161931264","1065687568161931264")</f>
        <v>1065687568161931264</v>
      </c>
      <c r="F1647" s="11" t="s">
        <v>1422</v>
      </c>
      <c r="G1647" s="12"/>
      <c r="H1647" s="12"/>
      <c r="I1647" s="13">
        <v>0</v>
      </c>
      <c r="J1647" s="13">
        <v>0</v>
      </c>
      <c r="K1647" s="14" t="str">
        <f>HYPERLINK("http://twitter.com","Twitter Web Client")</f>
        <v>Twitter Web Client</v>
      </c>
      <c r="L1647" s="13">
        <v>725</v>
      </c>
      <c r="M1647" s="13">
        <v>1174</v>
      </c>
      <c r="N1647" s="13">
        <v>17</v>
      </c>
      <c r="O1647" s="15"/>
      <c r="P1647" s="6">
        <v>40589.012638888889</v>
      </c>
      <c r="Q1647" s="17" t="s">
        <v>262</v>
      </c>
      <c r="R1647" s="18" t="s">
        <v>263</v>
      </c>
      <c r="S1647" s="12"/>
      <c r="T1647" s="12"/>
      <c r="U1647" s="10" t="str">
        <f>HYPERLINK("https://pbs.twimg.com/profile_images/1498277119/Antonio_Twiter.JPG","View")</f>
        <v>View</v>
      </c>
    </row>
    <row r="1648" spans="1:21" ht="81.599999999999994">
      <c r="A1648" s="6">
        <v>43426.850393518514</v>
      </c>
      <c r="B1648" s="7" t="str">
        <f>HYPERLINK("https://twitter.com/MundoBurbu","@MundoBurbu")</f>
        <v>@MundoBurbu</v>
      </c>
      <c r="C1648" s="8" t="s">
        <v>6204</v>
      </c>
      <c r="D1648" s="9" t="s">
        <v>6205</v>
      </c>
      <c r="E1648" s="10" t="str">
        <f>HYPERLINK("https://twitter.com/MundoBurbu/status/1065687502948831235","1065687502948831235")</f>
        <v>1065687502948831235</v>
      </c>
      <c r="F1648" s="11" t="s">
        <v>6206</v>
      </c>
      <c r="G1648" s="11" t="s">
        <v>6207</v>
      </c>
      <c r="H1648" s="12"/>
      <c r="I1648" s="13">
        <v>55</v>
      </c>
      <c r="J1648" s="13">
        <v>78</v>
      </c>
      <c r="K1648" s="14" t="str">
        <f>HYPERLINK("http://twitter.com/download/iphone","Twitter for iPhone")</f>
        <v>Twitter for iPhone</v>
      </c>
      <c r="L1648" s="13">
        <v>4249</v>
      </c>
      <c r="M1648" s="13">
        <v>4987</v>
      </c>
      <c r="N1648" s="13">
        <v>30</v>
      </c>
      <c r="O1648" s="15"/>
      <c r="P1648" s="6">
        <v>40765.490914351853</v>
      </c>
      <c r="Q1648" s="12"/>
      <c r="R1648" s="18" t="s">
        <v>6208</v>
      </c>
      <c r="S1648" s="12"/>
      <c r="T1648" s="12"/>
      <c r="U1648" s="10" t="str">
        <f>HYPERLINK("https://pbs.twimg.com/profile_images/378800000481524744/28454495b32ff0c60ebe9e92126e1027.jpeg","View")</f>
        <v>View</v>
      </c>
    </row>
    <row r="1649" spans="1:21" ht="40.799999999999997">
      <c r="A1649" s="6">
        <v>43426.850312499999</v>
      </c>
      <c r="B1649" s="7" t="str">
        <f>HYPERLINK("https://twitter.com/marbellaconfi","@marbellaconfi")</f>
        <v>@marbellaconfi</v>
      </c>
      <c r="C1649" s="8" t="s">
        <v>6116</v>
      </c>
      <c r="D1649" s="9" t="s">
        <v>6117</v>
      </c>
      <c r="E1649" s="10" t="str">
        <f>HYPERLINK("https://twitter.com/marbellaconfi/status/1065687470157778944","1065687470157778944")</f>
        <v>1065687470157778944</v>
      </c>
      <c r="F1649" s="11" t="s">
        <v>3433</v>
      </c>
      <c r="G1649" s="12"/>
      <c r="H1649" s="12"/>
      <c r="I1649" s="13">
        <v>1</v>
      </c>
      <c r="J1649" s="13">
        <v>1</v>
      </c>
      <c r="K1649" s="14" t="str">
        <f>HYPERLINK("http://twitter.com","Twitter Web Client")</f>
        <v>Twitter Web Client</v>
      </c>
      <c r="L1649" s="13">
        <v>2521</v>
      </c>
      <c r="M1649" s="13">
        <v>984</v>
      </c>
      <c r="N1649" s="13">
        <v>56</v>
      </c>
      <c r="O1649" s="15"/>
      <c r="P1649" s="6">
        <v>40756.882673611108</v>
      </c>
      <c r="Q1649" s="17" t="s">
        <v>1036</v>
      </c>
      <c r="R1649" s="18" t="s">
        <v>6119</v>
      </c>
      <c r="S1649" s="11" t="s">
        <v>6120</v>
      </c>
      <c r="T1649" s="12"/>
      <c r="U1649" s="10" t="str">
        <f>HYPERLINK("https://pbs.twimg.com/profile_images/1001109885759696897/GXMxKUw2.jpg","View")</f>
        <v>View</v>
      </c>
    </row>
    <row r="1650" spans="1:21" ht="30.6">
      <c r="A1650" s="6">
        <v>43426.850219907406</v>
      </c>
      <c r="B1650" s="7" t="str">
        <f>HYPERLINK("https://twitter.com/TimoteoPrez","@TimoteoPrez")</f>
        <v>@TimoteoPrez</v>
      </c>
      <c r="C1650" s="8" t="s">
        <v>6209</v>
      </c>
      <c r="D1650" s="9" t="s">
        <v>4650</v>
      </c>
      <c r="E1650" s="10" t="str">
        <f>HYPERLINK("https://twitter.com/TimoteoPrez/status/1065687440197853185","1065687440197853185")</f>
        <v>1065687440197853185</v>
      </c>
      <c r="F1650" s="11" t="s">
        <v>2089</v>
      </c>
      <c r="G1650" s="12"/>
      <c r="H1650" s="12"/>
      <c r="I1650" s="13">
        <v>0</v>
      </c>
      <c r="J1650" s="13">
        <v>0</v>
      </c>
      <c r="K1650" s="14" t="str">
        <f>HYPERLINK("http://twitter.com/download/iphone","Twitter for iPhone")</f>
        <v>Twitter for iPhone</v>
      </c>
      <c r="L1650" s="13">
        <v>1693</v>
      </c>
      <c r="M1650" s="13">
        <v>1271</v>
      </c>
      <c r="N1650" s="13">
        <v>55</v>
      </c>
      <c r="O1650" s="15"/>
      <c r="P1650" s="6">
        <v>40894.446053240739</v>
      </c>
      <c r="Q1650" s="17" t="s">
        <v>6210</v>
      </c>
      <c r="R1650" s="18" t="s">
        <v>6211</v>
      </c>
      <c r="S1650" s="12"/>
      <c r="T1650" s="12"/>
      <c r="U1650" s="10" t="str">
        <f>HYPERLINK("https://pbs.twimg.com/profile_images/757243540879572993/wR4M5c4i.jpg","View")</f>
        <v>View</v>
      </c>
    </row>
    <row r="1651" spans="1:21" ht="30.6">
      <c r="A1651" s="6">
        <v>43426.849965277783</v>
      </c>
      <c r="B1651" s="7" t="str">
        <f>HYPERLINK("https://twitter.com/Dama_Cristal","@Dama_Cristal")</f>
        <v>@Dama_Cristal</v>
      </c>
      <c r="C1651" s="8" t="s">
        <v>6212</v>
      </c>
      <c r="D1651" s="9" t="s">
        <v>2088</v>
      </c>
      <c r="E1651" s="10" t="str">
        <f>HYPERLINK("https://twitter.com/Dama_Cristal/status/1065687346476134403","1065687346476134403")</f>
        <v>1065687346476134403</v>
      </c>
      <c r="F1651" s="11" t="s">
        <v>2089</v>
      </c>
      <c r="G1651" s="12"/>
      <c r="H1651" s="12"/>
      <c r="I1651" s="13">
        <v>3</v>
      </c>
      <c r="J1651" s="13">
        <v>1</v>
      </c>
      <c r="K1651" s="14" t="str">
        <f>HYPERLINK("http://twitter.com","Twitter Web Client")</f>
        <v>Twitter Web Client</v>
      </c>
      <c r="L1651" s="13">
        <v>3927</v>
      </c>
      <c r="M1651" s="13">
        <v>1145</v>
      </c>
      <c r="N1651" s="13">
        <v>113</v>
      </c>
      <c r="O1651" s="15"/>
      <c r="P1651" s="6">
        <v>40055.963437500002</v>
      </c>
      <c r="Q1651" s="17" t="s">
        <v>1970</v>
      </c>
      <c r="R1651" s="18" t="s">
        <v>6213</v>
      </c>
      <c r="S1651" s="11" t="s">
        <v>6214</v>
      </c>
      <c r="T1651" s="12"/>
      <c r="U1651" s="10" t="str">
        <f>HYPERLINK("https://pbs.twimg.com/profile_images/1063871379488063489/2qf35eY7.jpg","View")</f>
        <v>View</v>
      </c>
    </row>
    <row r="1652" spans="1:21" ht="30.6">
      <c r="A1652" s="6">
        <v>43426.849305555559</v>
      </c>
      <c r="B1652" s="7" t="str">
        <f>HYPERLINK("https://twitter.com/jcaballerosoler","@jcaballerosoler")</f>
        <v>@jcaballerosoler</v>
      </c>
      <c r="C1652" s="8" t="s">
        <v>6215</v>
      </c>
      <c r="D1652" s="9" t="s">
        <v>6216</v>
      </c>
      <c r="E1652" s="10" t="str">
        <f>HYPERLINK("https://twitter.com/jcaballerosoler/status/1065687108659150848","1065687108659150848")</f>
        <v>1065687108659150848</v>
      </c>
      <c r="F1652" s="11" t="s">
        <v>6217</v>
      </c>
      <c r="G1652" s="12"/>
      <c r="H1652" s="12"/>
      <c r="I1652" s="13">
        <v>1</v>
      </c>
      <c r="J1652" s="13">
        <v>1</v>
      </c>
      <c r="K1652" s="14" t="str">
        <f>HYPERLINK("http://twitter.com/download/android","Twitter for Android")</f>
        <v>Twitter for Android</v>
      </c>
      <c r="L1652" s="13">
        <v>2242</v>
      </c>
      <c r="M1652" s="13">
        <v>1360</v>
      </c>
      <c r="N1652" s="13">
        <v>55</v>
      </c>
      <c r="O1652" s="15"/>
      <c r="P1652" s="6">
        <v>40929.545497685183</v>
      </c>
      <c r="Q1652" s="17" t="s">
        <v>6218</v>
      </c>
      <c r="R1652" s="18" t="s">
        <v>6219</v>
      </c>
      <c r="S1652" s="12"/>
      <c r="T1652" s="12"/>
      <c r="U1652" s="10" t="str">
        <f>HYPERLINK("https://pbs.twimg.com/profile_images/1059312038369992705/uv5gWkZq.jpg","View")</f>
        <v>View</v>
      </c>
    </row>
    <row r="1653" spans="1:21" ht="20.399999999999999">
      <c r="A1653" s="6">
        <v>43426.848900462966</v>
      </c>
      <c r="B1653" s="7" t="str">
        <f>HYPERLINK("https://twitter.com/akramrichani","@akramrichani")</f>
        <v>@akramrichani</v>
      </c>
      <c r="C1653" s="8" t="s">
        <v>117</v>
      </c>
      <c r="D1653" s="9" t="s">
        <v>640</v>
      </c>
      <c r="E1653" s="10" t="str">
        <f>HYPERLINK("https://twitter.com/akramrichani/status/1065686958591098882","1065686958591098882")</f>
        <v>1065686958591098882</v>
      </c>
      <c r="F1653" s="11" t="s">
        <v>641</v>
      </c>
      <c r="G1653" s="12"/>
      <c r="H1653" s="12"/>
      <c r="I1653" s="13">
        <v>0</v>
      </c>
      <c r="J1653" s="13">
        <v>0</v>
      </c>
      <c r="K1653" s="14" t="str">
        <f t="shared" ref="K1653:K1654" si="265">HYPERLINK("http://twitter.com","Twitter Web Client")</f>
        <v>Twitter Web Client</v>
      </c>
      <c r="L1653" s="13">
        <v>181</v>
      </c>
      <c r="M1653" s="13">
        <v>660</v>
      </c>
      <c r="N1653" s="13">
        <v>19</v>
      </c>
      <c r="O1653" s="15"/>
      <c r="P1653" s="6">
        <v>40338.705381944441</v>
      </c>
      <c r="Q1653" s="12"/>
      <c r="R1653" s="19"/>
      <c r="S1653" s="12"/>
      <c r="T1653" s="12"/>
      <c r="U1653" s="10" t="str">
        <f>HYPERLINK("https://pbs.twimg.com/profile_images/608610078711779329/PFKz7yAB.jpg","View")</f>
        <v>View</v>
      </c>
    </row>
    <row r="1654" spans="1:21" ht="13.2">
      <c r="A1654" s="6">
        <v>43426.848055555558</v>
      </c>
      <c r="B1654" s="7" t="str">
        <f>HYPERLINK("https://twitter.com/Arturitosss","@Arturitosss")</f>
        <v>@Arturitosss</v>
      </c>
      <c r="C1654" s="8" t="s">
        <v>6220</v>
      </c>
      <c r="D1654" s="9" t="s">
        <v>6221</v>
      </c>
      <c r="E1654" s="10" t="str">
        <f>HYPERLINK("https://twitter.com/Arturitosss/status/1065686655867195393","1065686655867195393")</f>
        <v>1065686655867195393</v>
      </c>
      <c r="F1654" s="11" t="s">
        <v>6222</v>
      </c>
      <c r="G1654" s="12"/>
      <c r="H1654" s="12"/>
      <c r="I1654" s="13">
        <v>0</v>
      </c>
      <c r="J1654" s="13">
        <v>0</v>
      </c>
      <c r="K1654" s="14" t="str">
        <f t="shared" si="265"/>
        <v>Twitter Web Client</v>
      </c>
      <c r="L1654" s="13">
        <v>182</v>
      </c>
      <c r="M1654" s="13">
        <v>265</v>
      </c>
      <c r="N1654" s="13">
        <v>55</v>
      </c>
      <c r="O1654" s="15"/>
      <c r="P1654" s="6">
        <v>40803.946620370371</v>
      </c>
      <c r="Q1654" s="17" t="s">
        <v>6223</v>
      </c>
      <c r="R1654" s="18" t="s">
        <v>6224</v>
      </c>
      <c r="S1654" s="12"/>
      <c r="T1654" s="12"/>
      <c r="U1654" s="10" t="str">
        <f>HYPERLINK("https://pbs.twimg.com/profile_images/2569497955/9bcndf9z02752bh9ia7m.jpeg","View")</f>
        <v>View</v>
      </c>
    </row>
    <row r="1655" spans="1:21" ht="20.399999999999999">
      <c r="A1655" s="6">
        <v>43426.847638888888</v>
      </c>
      <c r="B1655" s="7" t="str">
        <f>HYPERLINK("https://twitter.com/jcsimon94","@jcsimon94")</f>
        <v>@jcsimon94</v>
      </c>
      <c r="C1655" s="8" t="s">
        <v>6225</v>
      </c>
      <c r="D1655" s="9" t="s">
        <v>6226</v>
      </c>
      <c r="E1655" s="10" t="str">
        <f>HYPERLINK("https://twitter.com/jcsimon94/status/1065686504893284353","1065686504893284353")</f>
        <v>1065686504893284353</v>
      </c>
      <c r="F1655" s="11" t="s">
        <v>1776</v>
      </c>
      <c r="G1655" s="12"/>
      <c r="H1655" s="12"/>
      <c r="I1655" s="13">
        <v>0</v>
      </c>
      <c r="J1655" s="13">
        <v>0</v>
      </c>
      <c r="K1655" s="14" t="str">
        <f>HYPERLINK("http://twitter.com/#!/download/ipad","Twitter for iPad")</f>
        <v>Twitter for iPad</v>
      </c>
      <c r="L1655" s="13">
        <v>65</v>
      </c>
      <c r="M1655" s="13">
        <v>148</v>
      </c>
      <c r="N1655" s="13">
        <v>4</v>
      </c>
      <c r="O1655" s="15"/>
      <c r="P1655" s="6">
        <v>41238.805451388893</v>
      </c>
      <c r="Q1655" s="12"/>
      <c r="R1655" s="19"/>
      <c r="S1655" s="12"/>
      <c r="T1655" s="12"/>
      <c r="U1655" s="10" t="str">
        <f>HYPERLINK("https://pbs.twimg.com/profile_images/806470078451609600/6oLa4N2F.jpg","View")</f>
        <v>View</v>
      </c>
    </row>
    <row r="1656" spans="1:21" ht="40.799999999999997">
      <c r="A1656" s="6">
        <v>43426.84747685185</v>
      </c>
      <c r="B1656" s="7" t="str">
        <f>HYPERLINK("https://twitter.com/Rubendariove","@Rubendariove")</f>
        <v>@Rubendariove</v>
      </c>
      <c r="C1656" s="8" t="s">
        <v>6228</v>
      </c>
      <c r="D1656" s="9" t="s">
        <v>2091</v>
      </c>
      <c r="E1656" s="10" t="str">
        <f>HYPERLINK("https://twitter.com/Rubendariove/status/1065686445069869056","1065686445069869056")</f>
        <v>1065686445069869056</v>
      </c>
      <c r="F1656" s="11" t="s">
        <v>2092</v>
      </c>
      <c r="G1656" s="12"/>
      <c r="H1656" s="12"/>
      <c r="I1656" s="13">
        <v>0</v>
      </c>
      <c r="J1656" s="13">
        <v>0</v>
      </c>
      <c r="K1656" s="14" t="str">
        <f>HYPERLINK("http://twitter.com","Twitter Web Client")</f>
        <v>Twitter Web Client</v>
      </c>
      <c r="L1656" s="13">
        <v>21</v>
      </c>
      <c r="M1656" s="13">
        <v>118</v>
      </c>
      <c r="N1656" s="13">
        <v>0</v>
      </c>
      <c r="O1656" s="15"/>
      <c r="P1656" s="6">
        <v>40577.448287037041</v>
      </c>
      <c r="Q1656" s="17" t="s">
        <v>6229</v>
      </c>
      <c r="R1656" s="18" t="s">
        <v>6230</v>
      </c>
      <c r="S1656" s="12"/>
      <c r="T1656" s="12"/>
      <c r="U1656" s="10" t="str">
        <f>HYPERLINK("https://pbs.twimg.com/profile_images/1428342538/pirata.jpg","View")</f>
        <v>View</v>
      </c>
    </row>
    <row r="1657" spans="1:21" ht="40.799999999999997">
      <c r="A1657" s="6">
        <v>43426.847361111111</v>
      </c>
      <c r="B1657" s="7" t="str">
        <f>HYPERLINK("https://twitter.com/POTEMOS4","@POTEMOS4")</f>
        <v>@POTEMOS4</v>
      </c>
      <c r="C1657" s="8" t="s">
        <v>6231</v>
      </c>
      <c r="D1657" s="9" t="s">
        <v>1330</v>
      </c>
      <c r="E1657" s="10" t="str">
        <f>HYPERLINK("https://twitter.com/POTEMOS4/status/1065686403537879040","1065686403537879040")</f>
        <v>1065686403537879040</v>
      </c>
      <c r="F1657" s="11" t="s">
        <v>1331</v>
      </c>
      <c r="G1657" s="12"/>
      <c r="H1657" s="12"/>
      <c r="I1657" s="13">
        <v>0</v>
      </c>
      <c r="J1657" s="13">
        <v>4</v>
      </c>
      <c r="K1657" s="14" t="str">
        <f>HYPERLINK("http://twitter.com/download/android","Twitter for Android")</f>
        <v>Twitter for Android</v>
      </c>
      <c r="L1657" s="13">
        <v>2282</v>
      </c>
      <c r="M1657" s="13">
        <v>2139</v>
      </c>
      <c r="N1657" s="13">
        <v>2</v>
      </c>
      <c r="O1657" s="15"/>
      <c r="P1657" s="6">
        <v>43294.390104166669</v>
      </c>
      <c r="Q1657" s="12"/>
      <c r="R1657" s="18" t="s">
        <v>6232</v>
      </c>
      <c r="S1657" s="12"/>
      <c r="T1657" s="12"/>
      <c r="U1657" s="10" t="str">
        <f>HYPERLINK("https://pbs.twimg.com/profile_images/1017674734631292928/VrbYVMF2.jpg","View")</f>
        <v>View</v>
      </c>
    </row>
    <row r="1658" spans="1:21" ht="20.399999999999999">
      <c r="A1658" s="6">
        <v>43426.846932870365</v>
      </c>
      <c r="B1658" s="7" t="str">
        <f>HYPERLINK("https://twitter.com/elcomunistanet","@elcomunistanet")</f>
        <v>@elcomunistanet</v>
      </c>
      <c r="C1658" s="20" t="s">
        <v>6233</v>
      </c>
      <c r="D1658" s="9" t="s">
        <v>6181</v>
      </c>
      <c r="E1658" s="10" t="str">
        <f>HYPERLINK("https://twitter.com/elcomunistanet/status/1065686247350374400","1065686247350374400")</f>
        <v>1065686247350374400</v>
      </c>
      <c r="F1658" s="11" t="s">
        <v>6165</v>
      </c>
      <c r="G1658" s="11" t="s">
        <v>6234</v>
      </c>
      <c r="H1658" s="12"/>
      <c r="I1658" s="13">
        <v>0</v>
      </c>
      <c r="J1658" s="13">
        <v>0</v>
      </c>
      <c r="K1658" s="14" t="str">
        <f>HYPERLINK("http://publicize.wp.com/","WordPress.com")</f>
        <v>WordPress.com</v>
      </c>
      <c r="L1658" s="13">
        <v>2637</v>
      </c>
      <c r="M1658" s="13">
        <v>662</v>
      </c>
      <c r="N1658" s="13">
        <v>62</v>
      </c>
      <c r="O1658" s="15"/>
      <c r="P1658" s="6">
        <v>40680.956342592595</v>
      </c>
      <c r="Q1658" s="17" t="s">
        <v>6235</v>
      </c>
      <c r="R1658" s="18" t="s">
        <v>6236</v>
      </c>
      <c r="S1658" s="11" t="s">
        <v>6237</v>
      </c>
      <c r="T1658" s="12"/>
      <c r="U1658" s="10" t="str">
        <f>HYPERLINK("https://pbs.twimg.com/profile_images/1006672537168809985/YT4t6m_x.jpg","View")</f>
        <v>View</v>
      </c>
    </row>
    <row r="1659" spans="1:21" ht="40.799999999999997">
      <c r="A1659" s="6">
        <v>43426.846030092594</v>
      </c>
      <c r="B1659" s="7" t="str">
        <f>HYPERLINK("https://twitter.com/El_Cid_volador","@El_Cid_volador")</f>
        <v>@El_Cid_volador</v>
      </c>
      <c r="C1659" s="8" t="s">
        <v>110</v>
      </c>
      <c r="D1659" s="9" t="s">
        <v>6238</v>
      </c>
      <c r="E1659" s="10" t="str">
        <f>HYPERLINK("https://twitter.com/El_Cid_volador/status/1065685918324072448","1065685918324072448")</f>
        <v>1065685918324072448</v>
      </c>
      <c r="F1659" s="12"/>
      <c r="G1659" s="12"/>
      <c r="H1659" s="12"/>
      <c r="I1659" s="13">
        <v>0</v>
      </c>
      <c r="J1659" s="13">
        <v>0</v>
      </c>
      <c r="K1659" s="14" t="str">
        <f t="shared" ref="K1659:K1660" si="266">HYPERLINK("http://twitter.com","Twitter Web Client")</f>
        <v>Twitter Web Client</v>
      </c>
      <c r="L1659" s="13">
        <v>134</v>
      </c>
      <c r="M1659" s="13">
        <v>91</v>
      </c>
      <c r="N1659" s="13">
        <v>3</v>
      </c>
      <c r="O1659" s="15"/>
      <c r="P1659" s="6">
        <v>42951.408807870372</v>
      </c>
      <c r="Q1659" s="17" t="s">
        <v>114</v>
      </c>
      <c r="R1659" s="18" t="s">
        <v>115</v>
      </c>
      <c r="S1659" s="12"/>
      <c r="T1659" s="12"/>
      <c r="U1659" s="10" t="str">
        <f>HYPERLINK("https://pbs.twimg.com/profile_images/1012663203136987136/4vl6lREH.jpg","View")</f>
        <v>View</v>
      </c>
    </row>
    <row r="1660" spans="1:21" ht="30.6">
      <c r="A1660" s="6">
        <v>43426.844363425931</v>
      </c>
      <c r="B1660" s="7" t="str">
        <f>HYPERLINK("https://twitter.com/frcub","@frcub")</f>
        <v>@frcub</v>
      </c>
      <c r="C1660" s="8" t="s">
        <v>1174</v>
      </c>
      <c r="D1660" s="9" t="s">
        <v>6241</v>
      </c>
      <c r="E1660" s="10" t="str">
        <f>HYPERLINK("https://twitter.com/frcub/status/1065685314646261760","1065685314646261760")</f>
        <v>1065685314646261760</v>
      </c>
      <c r="F1660" s="11" t="s">
        <v>2089</v>
      </c>
      <c r="G1660" s="12"/>
      <c r="H1660" s="12"/>
      <c r="I1660" s="13">
        <v>0</v>
      </c>
      <c r="J1660" s="13">
        <v>0</v>
      </c>
      <c r="K1660" s="14" t="str">
        <f t="shared" si="266"/>
        <v>Twitter Web Client</v>
      </c>
      <c r="L1660" s="13">
        <v>5019</v>
      </c>
      <c r="M1660" s="13">
        <v>3885</v>
      </c>
      <c r="N1660" s="13">
        <v>58</v>
      </c>
      <c r="O1660" s="15"/>
      <c r="P1660" s="6">
        <v>40664.317858796298</v>
      </c>
      <c r="Q1660" s="17" t="s">
        <v>28</v>
      </c>
      <c r="R1660" s="18" t="s">
        <v>1176</v>
      </c>
      <c r="S1660" s="12"/>
      <c r="T1660" s="12"/>
      <c r="U1660" s="10" t="str">
        <f>HYPERLINK("https://pbs.twimg.com/profile_images/1041719046293647360/7xigqmIy.jpg","View")</f>
        <v>View</v>
      </c>
    </row>
    <row r="1661" spans="1:21" ht="40.799999999999997">
      <c r="A1661" s="6">
        <v>43426.843900462962</v>
      </c>
      <c r="B1661" s="7" t="str">
        <f>HYPERLINK("https://twitter.com/ELTIEMPO","@ELTIEMPO")</f>
        <v>@ELTIEMPO</v>
      </c>
      <c r="C1661" s="8" t="s">
        <v>6242</v>
      </c>
      <c r="D1661" s="9" t="s">
        <v>6243</v>
      </c>
      <c r="E1661" s="10" t="str">
        <f>HYPERLINK("https://twitter.com/ELTIEMPO/status/1065685147205476352","1065685147205476352")</f>
        <v>1065685147205476352</v>
      </c>
      <c r="F1661" s="11" t="s">
        <v>6244</v>
      </c>
      <c r="G1661" s="11" t="s">
        <v>6245</v>
      </c>
      <c r="H1661" s="12"/>
      <c r="I1661" s="13">
        <v>2</v>
      </c>
      <c r="J1661" s="13">
        <v>8</v>
      </c>
      <c r="K1661" s="14" t="str">
        <f>HYPERLINK("https://www.hootsuite.com","Hootsuite Inc.")</f>
        <v>Hootsuite Inc.</v>
      </c>
      <c r="L1661" s="13">
        <v>6479389</v>
      </c>
      <c r="M1661" s="13">
        <v>26286</v>
      </c>
      <c r="N1661" s="13">
        <v>15509</v>
      </c>
      <c r="O1661" s="16" t="s">
        <v>26</v>
      </c>
      <c r="P1661" s="6">
        <v>39378.919027777782</v>
      </c>
      <c r="Q1661" s="17" t="s">
        <v>5020</v>
      </c>
      <c r="R1661" s="18" t="s">
        <v>6246</v>
      </c>
      <c r="S1661" s="11" t="s">
        <v>6247</v>
      </c>
      <c r="T1661" s="12"/>
      <c r="U1661" s="10" t="str">
        <f>HYPERLINK("https://pbs.twimg.com/profile_images/1053511496972541953/Po6LEiC5.jpg","View")</f>
        <v>View</v>
      </c>
    </row>
    <row r="1662" spans="1:21" ht="30.6">
      <c r="A1662" s="6">
        <v>43426.843900462962</v>
      </c>
      <c r="B1662" s="7" t="str">
        <f>HYPERLINK("https://twitter.com/mrexplorador","@mrexplorador")</f>
        <v>@mrexplorador</v>
      </c>
      <c r="C1662" s="8" t="s">
        <v>954</v>
      </c>
      <c r="D1662" s="9" t="s">
        <v>4894</v>
      </c>
      <c r="E1662" s="10" t="str">
        <f>HYPERLINK("https://twitter.com/mrexplorador/status/1065685146471419909","1065685146471419909")</f>
        <v>1065685146471419909</v>
      </c>
      <c r="F1662" s="11" t="s">
        <v>4895</v>
      </c>
      <c r="G1662" s="12"/>
      <c r="H1662" s="12"/>
      <c r="I1662" s="13">
        <v>0</v>
      </c>
      <c r="J1662" s="13">
        <v>0</v>
      </c>
      <c r="K1662" s="14" t="str">
        <f>HYPERLINK("http://twitter.com/#!/download/ipad","Twitter for iPad")</f>
        <v>Twitter for iPad</v>
      </c>
      <c r="L1662" s="13">
        <v>656</v>
      </c>
      <c r="M1662" s="13">
        <v>299</v>
      </c>
      <c r="N1662" s="13">
        <v>2</v>
      </c>
      <c r="O1662" s="15"/>
      <c r="P1662" s="6">
        <v>43198.733622685184</v>
      </c>
      <c r="Q1662" s="12"/>
      <c r="R1662" s="19"/>
      <c r="S1662" s="12"/>
      <c r="T1662" s="12"/>
      <c r="U1662" s="10" t="str">
        <f>HYPERLINK("https://pbs.twimg.com/profile_images/983029093007577089/NCDg8wbO.jpg","View")</f>
        <v>View</v>
      </c>
    </row>
    <row r="1663" spans="1:21" ht="20.399999999999999">
      <c r="A1663" s="6">
        <v>43426.843472222223</v>
      </c>
      <c r="B1663" s="7" t="str">
        <f>HYPERLINK("https://twitter.com/piliymili69","@piliymili69")</f>
        <v>@piliymili69</v>
      </c>
      <c r="C1663" s="8" t="s">
        <v>6248</v>
      </c>
      <c r="D1663" s="9" t="s">
        <v>1775</v>
      </c>
      <c r="E1663" s="10" t="str">
        <f>HYPERLINK("https://twitter.com/piliymili69/status/1065684994193010693","1065684994193010693")</f>
        <v>1065684994193010693</v>
      </c>
      <c r="F1663" s="11" t="s">
        <v>1776</v>
      </c>
      <c r="G1663" s="12"/>
      <c r="H1663" s="12"/>
      <c r="I1663" s="13">
        <v>5</v>
      </c>
      <c r="J1663" s="13">
        <v>5</v>
      </c>
      <c r="K1663" s="14" t="str">
        <f t="shared" ref="K1663:K1664" si="267">HYPERLINK("http://twitter.com","Twitter Web Client")</f>
        <v>Twitter Web Client</v>
      </c>
      <c r="L1663" s="13">
        <v>685</v>
      </c>
      <c r="M1663" s="13">
        <v>1630</v>
      </c>
      <c r="N1663" s="13">
        <v>2</v>
      </c>
      <c r="O1663" s="15"/>
      <c r="P1663" s="6">
        <v>42394.827708333338</v>
      </c>
      <c r="Q1663" s="12"/>
      <c r="R1663" s="19"/>
      <c r="S1663" s="12"/>
      <c r="T1663" s="12"/>
      <c r="U1663" s="10" t="str">
        <f>HYPERLINK("https://pbs.twimg.com/profile_images/1014830104390881285/gwISmr8z.jpg","View")</f>
        <v>View</v>
      </c>
    </row>
    <row r="1664" spans="1:21" ht="81.599999999999994">
      <c r="A1664" s="6">
        <v>43426.843206018515</v>
      </c>
      <c r="B1664" s="7" t="str">
        <f>HYPERLINK("https://twitter.com/MarcelGascon","@MarcelGascon")</f>
        <v>@MarcelGascon</v>
      </c>
      <c r="C1664" s="8" t="s">
        <v>6250</v>
      </c>
      <c r="D1664" s="9" t="s">
        <v>6251</v>
      </c>
      <c r="E1664" s="10" t="str">
        <f>HYPERLINK("https://twitter.com/MarcelGascon/status/1065684896369336321","1065684896369336321")</f>
        <v>1065684896369336321</v>
      </c>
      <c r="F1664" s="17" t="s">
        <v>6252</v>
      </c>
      <c r="G1664" s="12"/>
      <c r="H1664" s="12"/>
      <c r="I1664" s="13">
        <v>9</v>
      </c>
      <c r="J1664" s="13">
        <v>16</v>
      </c>
      <c r="K1664" s="14" t="str">
        <f t="shared" si="267"/>
        <v>Twitter Web Client</v>
      </c>
      <c r="L1664" s="13">
        <v>1391</v>
      </c>
      <c r="M1664" s="13">
        <v>1790</v>
      </c>
      <c r="N1664" s="13">
        <v>65</v>
      </c>
      <c r="O1664" s="15"/>
      <c r="P1664" s="6">
        <v>40626.817499999997</v>
      </c>
      <c r="Q1664" s="17" t="s">
        <v>6253</v>
      </c>
      <c r="R1664" s="19"/>
      <c r="S1664" s="12"/>
      <c r="T1664" s="12"/>
      <c r="U1664" s="10" t="str">
        <f>HYPERLINK("https://pbs.twimg.com/profile_images/1056220722593435648/3qO3Cr1V.jpg","View")</f>
        <v>View</v>
      </c>
    </row>
    <row r="1665" spans="1:21" ht="30.6">
      <c r="A1665" s="6">
        <v>43426.842916666668</v>
      </c>
      <c r="B1665" s="7" t="str">
        <f>HYPERLINK("https://twitter.com/Guerrismo","@Guerrismo")</f>
        <v>@Guerrismo</v>
      </c>
      <c r="C1665" s="8" t="s">
        <v>6254</v>
      </c>
      <c r="D1665" s="9" t="s">
        <v>6255</v>
      </c>
      <c r="E1665" s="10" t="str">
        <f>HYPERLINK("https://twitter.com/Guerrismo/status/1065684792824475649","1065684792824475649")</f>
        <v>1065684792824475649</v>
      </c>
      <c r="F1665" s="17" t="s">
        <v>6256</v>
      </c>
      <c r="G1665" s="12"/>
      <c r="H1665" s="12"/>
      <c r="I1665" s="13">
        <v>0</v>
      </c>
      <c r="J1665" s="13">
        <v>0</v>
      </c>
      <c r="K1665" s="14" t="str">
        <f t="shared" ref="K1665:K1670" si="268">HYPERLINK("http://twitter.com/download/android","Twitter for Android")</f>
        <v>Twitter for Android</v>
      </c>
      <c r="L1665" s="13">
        <v>89</v>
      </c>
      <c r="M1665" s="13">
        <v>706</v>
      </c>
      <c r="N1665" s="13">
        <v>2</v>
      </c>
      <c r="O1665" s="15"/>
      <c r="P1665" s="6">
        <v>41602.565104166664</v>
      </c>
      <c r="Q1665" s="17" t="s">
        <v>6257</v>
      </c>
      <c r="R1665" s="18" t="s">
        <v>6258</v>
      </c>
      <c r="S1665" s="12"/>
      <c r="T1665" s="12"/>
      <c r="U1665" s="10" t="str">
        <f>HYPERLINK("https://pbs.twimg.com/profile_images/1060135233859829760/VQFh6p5x.jpg","View")</f>
        <v>View</v>
      </c>
    </row>
    <row r="1666" spans="1:21" ht="51">
      <c r="A1666" s="6">
        <v>43426.842800925922</v>
      </c>
      <c r="B1666" s="7" t="str">
        <f>HYPERLINK("https://twitter.com/AnaMari09470044","@AnaMari09470044")</f>
        <v>@AnaMari09470044</v>
      </c>
      <c r="C1666" s="8" t="s">
        <v>6259</v>
      </c>
      <c r="D1666" s="9" t="s">
        <v>6260</v>
      </c>
      <c r="E1666" s="10" t="str">
        <f>HYPERLINK("https://twitter.com/AnaMari09470044/status/1065684751313502209","1065684751313502209")</f>
        <v>1065684751313502209</v>
      </c>
      <c r="F1666" s="17" t="s">
        <v>6261</v>
      </c>
      <c r="G1666" s="12"/>
      <c r="H1666" s="12"/>
      <c r="I1666" s="13">
        <v>0</v>
      </c>
      <c r="J1666" s="13">
        <v>0</v>
      </c>
      <c r="K1666" s="14" t="str">
        <f t="shared" si="268"/>
        <v>Twitter for Android</v>
      </c>
      <c r="L1666" s="13">
        <v>45</v>
      </c>
      <c r="M1666" s="13">
        <v>186</v>
      </c>
      <c r="N1666" s="13">
        <v>0</v>
      </c>
      <c r="O1666" s="15"/>
      <c r="P1666" s="6">
        <v>43399.865104166667</v>
      </c>
      <c r="Q1666" s="12"/>
      <c r="R1666" s="18" t="s">
        <v>6262</v>
      </c>
      <c r="S1666" s="12"/>
      <c r="T1666" s="12"/>
      <c r="U1666" s="10" t="str">
        <f>HYPERLINK("https://pbs.twimg.com/profile_images/1055893999427506176/vtOY4hZ6.jpg","View")</f>
        <v>View</v>
      </c>
    </row>
    <row r="1667" spans="1:21" ht="20.399999999999999">
      <c r="A1667" s="6">
        <v>43426.842719907407</v>
      </c>
      <c r="B1667" s="7" t="str">
        <f>HYPERLINK("https://twitter.com/Isaac__am","@Isaac__am")</f>
        <v>@Isaac__am</v>
      </c>
      <c r="C1667" s="8" t="s">
        <v>6263</v>
      </c>
      <c r="D1667" s="9" t="s">
        <v>6264</v>
      </c>
      <c r="E1667" s="10" t="str">
        <f>HYPERLINK("https://twitter.com/Isaac__am/status/1065684721512955904","1065684721512955904")</f>
        <v>1065684721512955904</v>
      </c>
      <c r="F1667" s="11" t="s">
        <v>556</v>
      </c>
      <c r="G1667" s="12"/>
      <c r="H1667" s="12"/>
      <c r="I1667" s="13">
        <v>0</v>
      </c>
      <c r="J1667" s="13">
        <v>0</v>
      </c>
      <c r="K1667" s="14" t="str">
        <f t="shared" si="268"/>
        <v>Twitter for Android</v>
      </c>
      <c r="L1667" s="13">
        <v>700</v>
      </c>
      <c r="M1667" s="13">
        <v>1509</v>
      </c>
      <c r="N1667" s="13">
        <v>5</v>
      </c>
      <c r="O1667" s="15"/>
      <c r="P1667" s="6">
        <v>43088.509953703702</v>
      </c>
      <c r="Q1667" s="17" t="s">
        <v>6265</v>
      </c>
      <c r="R1667" s="18" t="s">
        <v>6266</v>
      </c>
      <c r="S1667" s="11" t="s">
        <v>6267</v>
      </c>
      <c r="T1667" s="12"/>
      <c r="U1667" s="10" t="str">
        <f>HYPERLINK("https://pbs.twimg.com/profile_images/1057390328863440900/jBrxICq0.jpg","View")</f>
        <v>View</v>
      </c>
    </row>
    <row r="1668" spans="1:21" ht="81.599999999999994">
      <c r="A1668" s="6">
        <v>43426.842534722222</v>
      </c>
      <c r="B1668" s="7" t="str">
        <f>HYPERLINK("https://twitter.com/ElenaGuiteras","@ElenaGuiteras")</f>
        <v>@ElenaGuiteras</v>
      </c>
      <c r="C1668" s="8" t="s">
        <v>6268</v>
      </c>
      <c r="D1668" s="9" t="s">
        <v>6269</v>
      </c>
      <c r="E1668" s="10" t="str">
        <f>HYPERLINK("https://twitter.com/ElenaGuiteras/status/1065684654202789888","1065684654202789888")</f>
        <v>1065684654202789888</v>
      </c>
      <c r="F1668" s="17" t="s">
        <v>5198</v>
      </c>
      <c r="G1668" s="11" t="s">
        <v>5199</v>
      </c>
      <c r="H1668" s="12"/>
      <c r="I1668" s="13">
        <v>0</v>
      </c>
      <c r="J1668" s="13">
        <v>1</v>
      </c>
      <c r="K1668" s="14" t="str">
        <f t="shared" si="268"/>
        <v>Twitter for Android</v>
      </c>
      <c r="L1668" s="13">
        <v>27</v>
      </c>
      <c r="M1668" s="13">
        <v>37</v>
      </c>
      <c r="N1668" s="13">
        <v>0</v>
      </c>
      <c r="O1668" s="15"/>
      <c r="P1668" s="6">
        <v>43074.089849537035</v>
      </c>
      <c r="Q1668" s="12"/>
      <c r="R1668" s="19"/>
      <c r="S1668" s="12"/>
      <c r="T1668" s="12"/>
      <c r="U1668" s="16" t="s">
        <v>373</v>
      </c>
    </row>
    <row r="1669" spans="1:21" ht="20.399999999999999">
      <c r="A1669" s="6">
        <v>43426.842465277776</v>
      </c>
      <c r="B1669" s="7" t="str">
        <f>HYPERLINK("https://twitter.com/pilar20013","@pilar20013")</f>
        <v>@pilar20013</v>
      </c>
      <c r="C1669" s="8" t="s">
        <v>6270</v>
      </c>
      <c r="D1669" s="9" t="s">
        <v>2981</v>
      </c>
      <c r="E1669" s="10" t="str">
        <f>HYPERLINK("https://twitter.com/pilar20013/status/1065684629817036801","1065684629817036801")</f>
        <v>1065684629817036801</v>
      </c>
      <c r="F1669" s="11" t="s">
        <v>6271</v>
      </c>
      <c r="G1669" s="12"/>
      <c r="H1669" s="12"/>
      <c r="I1669" s="13">
        <v>0</v>
      </c>
      <c r="J1669" s="13">
        <v>0</v>
      </c>
      <c r="K1669" s="14" t="str">
        <f t="shared" si="268"/>
        <v>Twitter for Android</v>
      </c>
      <c r="L1669" s="13">
        <v>250</v>
      </c>
      <c r="M1669" s="13">
        <v>72</v>
      </c>
      <c r="N1669" s="13">
        <v>15</v>
      </c>
      <c r="O1669" s="15"/>
      <c r="P1669" s="6">
        <v>41480.843738425923</v>
      </c>
      <c r="Q1669" s="17" t="s">
        <v>28</v>
      </c>
      <c r="R1669" s="19"/>
      <c r="S1669" s="12"/>
      <c r="T1669" s="12"/>
      <c r="U1669" s="10" t="str">
        <f>HYPERLINK("https://pbs.twimg.com/profile_images/1065667649554673664/CQbBNTLF.jpg","View")</f>
        <v>View</v>
      </c>
    </row>
    <row r="1670" spans="1:21" ht="20.399999999999999">
      <c r="A1670" s="6">
        <v>43426.842268518521</v>
      </c>
      <c r="B1670" s="7" t="str">
        <f>HYPERLINK("https://twitter.com/FELIXMA66782826","@FELIXMA66782826")</f>
        <v>@FELIXMA66782826</v>
      </c>
      <c r="C1670" s="8" t="s">
        <v>6273</v>
      </c>
      <c r="D1670" s="9" t="s">
        <v>6274</v>
      </c>
      <c r="E1670" s="10" t="str">
        <f>HYPERLINK("https://twitter.com/FELIXMA66782826/status/1065684555032682496","1065684555032682496")</f>
        <v>1065684555032682496</v>
      </c>
      <c r="F1670" s="12"/>
      <c r="G1670" s="12"/>
      <c r="H1670" s="12"/>
      <c r="I1670" s="13">
        <v>0</v>
      </c>
      <c r="J1670" s="13">
        <v>0</v>
      </c>
      <c r="K1670" s="14" t="str">
        <f t="shared" si="268"/>
        <v>Twitter for Android</v>
      </c>
      <c r="L1670" s="13">
        <v>123</v>
      </c>
      <c r="M1670" s="13">
        <v>419</v>
      </c>
      <c r="N1670" s="13">
        <v>0</v>
      </c>
      <c r="O1670" s="15"/>
      <c r="P1670" s="6">
        <v>43239.908032407402</v>
      </c>
      <c r="Q1670" s="17" t="s">
        <v>277</v>
      </c>
      <c r="R1670" s="18" t="s">
        <v>6275</v>
      </c>
      <c r="S1670" s="12"/>
      <c r="T1670" s="12"/>
      <c r="U1670" s="10" t="str">
        <f>HYPERLINK("https://pbs.twimg.com/profile_images/998112873586069505/YLtC4nWK.jpg","View")</f>
        <v>View</v>
      </c>
    </row>
    <row r="1671" spans="1:21" ht="20.399999999999999">
      <c r="A1671" s="6">
        <v>43426.842222222222</v>
      </c>
      <c r="B1671" s="7" t="str">
        <f>HYPERLINK("https://twitter.com/SergiCdV","@SergiCdV")</f>
        <v>@SergiCdV</v>
      </c>
      <c r="C1671" s="8" t="s">
        <v>6276</v>
      </c>
      <c r="D1671" s="9" t="s">
        <v>6101</v>
      </c>
      <c r="E1671" s="10" t="str">
        <f>HYPERLINK("https://twitter.com/SergiCdV/status/1065684540881018885","1065684540881018885")</f>
        <v>1065684540881018885</v>
      </c>
      <c r="F1671" s="11" t="s">
        <v>6277</v>
      </c>
      <c r="G1671" s="12"/>
      <c r="H1671" s="12"/>
      <c r="I1671" s="13">
        <v>0</v>
      </c>
      <c r="J1671" s="13">
        <v>0</v>
      </c>
      <c r="K1671" s="14" t="str">
        <f>HYPERLINK("http://twitter.com/download/iphone","Twitter for iPhone")</f>
        <v>Twitter for iPhone</v>
      </c>
      <c r="L1671" s="13">
        <v>155</v>
      </c>
      <c r="M1671" s="13">
        <v>563</v>
      </c>
      <c r="N1671" s="13">
        <v>4</v>
      </c>
      <c r="O1671" s="15"/>
      <c r="P1671" s="6">
        <v>40607.972395833334</v>
      </c>
      <c r="Q1671" s="12"/>
      <c r="R1671" s="19"/>
      <c r="S1671" s="12"/>
      <c r="T1671" s="12"/>
      <c r="U1671" s="10" t="str">
        <f>HYPERLINK("https://pbs.twimg.com/profile_images/926594777277173760/wuKFq7nN.jpg","View")</f>
        <v>View</v>
      </c>
    </row>
    <row r="1672" spans="1:21" ht="40.799999999999997">
      <c r="A1672" s="6">
        <v>43426.84211805556</v>
      </c>
      <c r="B1672" s="7" t="str">
        <f>HYPERLINK("https://twitter.com/alconperegrino2","@alconperegrino2")</f>
        <v>@alconperegrino2</v>
      </c>
      <c r="C1672" s="8" t="s">
        <v>5086</v>
      </c>
      <c r="D1672" s="9" t="s">
        <v>6278</v>
      </c>
      <c r="E1672" s="10" t="str">
        <f>HYPERLINK("https://twitter.com/alconperegrino2/status/1065684501425205248","1065684501425205248")</f>
        <v>1065684501425205248</v>
      </c>
      <c r="F1672" s="12"/>
      <c r="G1672" s="12"/>
      <c r="H1672" s="12"/>
      <c r="I1672" s="13">
        <v>0</v>
      </c>
      <c r="J1672" s="13">
        <v>0</v>
      </c>
      <c r="K1672" s="14" t="str">
        <f t="shared" ref="K1672:K1673" si="269">HYPERLINK("http://twitter.com","Twitter Web Client")</f>
        <v>Twitter Web Client</v>
      </c>
      <c r="L1672" s="13">
        <v>69</v>
      </c>
      <c r="M1672" s="13">
        <v>78</v>
      </c>
      <c r="N1672" s="13">
        <v>9</v>
      </c>
      <c r="O1672" s="15"/>
      <c r="P1672" s="6">
        <v>40509.832361111112</v>
      </c>
      <c r="Q1672" s="12"/>
      <c r="R1672" s="19"/>
      <c r="S1672" s="12"/>
      <c r="T1672" s="12"/>
      <c r="U1672" s="10" t="str">
        <f>HYPERLINK("https://pbs.twimg.com/profile_images/506876257624023040/buwMeWPi.jpeg","View")</f>
        <v>View</v>
      </c>
    </row>
    <row r="1673" spans="1:21" ht="51">
      <c r="A1673" s="6">
        <v>43426.841805555552</v>
      </c>
      <c r="B1673" s="7" t="str">
        <f>HYPERLINK("https://twitter.com/goslum","@goslum")</f>
        <v>@goslum</v>
      </c>
      <c r="C1673" s="8" t="s">
        <v>2775</v>
      </c>
      <c r="D1673" s="9" t="s">
        <v>6279</v>
      </c>
      <c r="E1673" s="10" t="str">
        <f>HYPERLINK("https://twitter.com/goslum/status/1065684388287938560","1065684388287938560")</f>
        <v>1065684388287938560</v>
      </c>
      <c r="F1673" s="12"/>
      <c r="G1673" s="12"/>
      <c r="H1673" s="12"/>
      <c r="I1673" s="13">
        <v>166</v>
      </c>
      <c r="J1673" s="13">
        <v>303</v>
      </c>
      <c r="K1673" s="14" t="str">
        <f t="shared" si="269"/>
        <v>Twitter Web Client</v>
      </c>
      <c r="L1673" s="13">
        <v>8180</v>
      </c>
      <c r="M1673" s="13">
        <v>304</v>
      </c>
      <c r="N1673" s="13">
        <v>93</v>
      </c>
      <c r="O1673" s="15"/>
      <c r="P1673" s="6">
        <v>41141.618148148147</v>
      </c>
      <c r="Q1673" s="12"/>
      <c r="R1673" s="27" t="s">
        <v>2777</v>
      </c>
      <c r="S1673" s="12"/>
      <c r="T1673" s="12"/>
      <c r="U1673" s="10" t="str">
        <f>HYPERLINK("https://pbs.twimg.com/profile_images/959315561099411456/rdONeA44.jpg","View")</f>
        <v>View</v>
      </c>
    </row>
    <row r="1674" spans="1:21" ht="30.6">
      <c r="A1674" s="6">
        <v>43426.841168981482</v>
      </c>
      <c r="B1674" s="7" t="str">
        <f>HYPERLINK("https://twitter.com/contafisca","@contafisca")</f>
        <v>@contafisca</v>
      </c>
      <c r="C1674" s="8" t="s">
        <v>6280</v>
      </c>
      <c r="D1674" s="9" t="s">
        <v>6281</v>
      </c>
      <c r="E1674" s="10" t="str">
        <f>HYPERLINK("https://twitter.com/contafisca/status/1065684157085421568","1065684157085421568")</f>
        <v>1065684157085421568</v>
      </c>
      <c r="F1674" s="11" t="s">
        <v>6282</v>
      </c>
      <c r="G1674" s="12"/>
      <c r="H1674" s="12"/>
      <c r="I1674" s="13">
        <v>0</v>
      </c>
      <c r="J1674" s="13">
        <v>0</v>
      </c>
      <c r="K1674" s="14" t="str">
        <f>HYPERLINK("https://ifttt.com","IFTTT")</f>
        <v>IFTTT</v>
      </c>
      <c r="L1674" s="13">
        <v>2613</v>
      </c>
      <c r="M1674" s="13">
        <v>676</v>
      </c>
      <c r="N1674" s="13">
        <v>255</v>
      </c>
      <c r="O1674" s="15"/>
      <c r="P1674" s="6">
        <v>39201.78534722222</v>
      </c>
      <c r="Q1674" s="17" t="s">
        <v>3648</v>
      </c>
      <c r="R1674" s="18" t="s">
        <v>6283</v>
      </c>
      <c r="S1674" s="11" t="s">
        <v>6284</v>
      </c>
      <c r="T1674" s="12"/>
      <c r="U1674" s="10" t="str">
        <f>HYPERLINK("https://pbs.twimg.com/profile_images/813093878941286401/fJY7lWNq.jpg","View")</f>
        <v>View</v>
      </c>
    </row>
    <row r="1675" spans="1:21" ht="20.399999999999999">
      <c r="A1675" s="6">
        <v>43426.841122685189</v>
      </c>
      <c r="B1675" s="7" t="str">
        <f>HYPERLINK("https://twitter.com/sergio_stamaria","@sergio_stamaria")</f>
        <v>@sergio_stamaria</v>
      </c>
      <c r="C1675" s="8" t="s">
        <v>6285</v>
      </c>
      <c r="D1675" s="9" t="s">
        <v>6286</v>
      </c>
      <c r="E1675" s="10" t="str">
        <f>HYPERLINK("https://twitter.com/sergio_stamaria/status/1065684141964955648","1065684141964955648")</f>
        <v>1065684141964955648</v>
      </c>
      <c r="F1675" s="11" t="s">
        <v>6287</v>
      </c>
      <c r="G1675" s="12"/>
      <c r="H1675" s="12"/>
      <c r="I1675" s="13">
        <v>0</v>
      </c>
      <c r="J1675" s="13">
        <v>1</v>
      </c>
      <c r="K1675" s="14" t="str">
        <f>HYPERLINK("http://twitter.com/download/iphone","Twitter for iPhone")</f>
        <v>Twitter for iPhone</v>
      </c>
      <c r="L1675" s="13">
        <v>2062</v>
      </c>
      <c r="M1675" s="13">
        <v>267</v>
      </c>
      <c r="N1675" s="13">
        <v>56</v>
      </c>
      <c r="O1675" s="15"/>
      <c r="P1675" s="6">
        <v>40441.612893518519</v>
      </c>
      <c r="Q1675" s="17" t="s">
        <v>6288</v>
      </c>
      <c r="R1675" s="18" t="s">
        <v>6289</v>
      </c>
      <c r="S1675" s="12"/>
      <c r="T1675" s="12"/>
      <c r="U1675" s="10" t="str">
        <f>HYPERLINK("https://pbs.twimg.com/profile_images/1047139697997287424/MzmGKif6.jpg","View")</f>
        <v>View</v>
      </c>
    </row>
    <row r="1676" spans="1:21" ht="30.6">
      <c r="A1676" s="6">
        <v>43426.84097222222</v>
      </c>
      <c r="B1676" s="7" t="str">
        <f>HYPERLINK("https://twitter.com/pressdigital","@pressdigital")</f>
        <v>@pressdigital</v>
      </c>
      <c r="C1676" s="8" t="s">
        <v>990</v>
      </c>
      <c r="D1676" s="9" t="s">
        <v>6290</v>
      </c>
      <c r="E1676" s="10" t="str">
        <f>HYPERLINK("https://twitter.com/pressdigital/status/1065684087179001856","1065684087179001856")</f>
        <v>1065684087179001856</v>
      </c>
      <c r="F1676" s="11" t="s">
        <v>6291</v>
      </c>
      <c r="G1676" s="12"/>
      <c r="H1676" s="12"/>
      <c r="I1676" s="13">
        <v>0</v>
      </c>
      <c r="J1676" s="13">
        <v>1</v>
      </c>
      <c r="K1676" s="14" t="str">
        <f>HYPERLINK("https://buffer.com","Buffer")</f>
        <v>Buffer</v>
      </c>
      <c r="L1676" s="13">
        <v>1203</v>
      </c>
      <c r="M1676" s="13">
        <v>1054</v>
      </c>
      <c r="N1676" s="13">
        <v>73</v>
      </c>
      <c r="O1676" s="15"/>
      <c r="P1676" s="6">
        <v>40142.836041666669</v>
      </c>
      <c r="Q1676" s="17" t="s">
        <v>28</v>
      </c>
      <c r="R1676" s="18" t="s">
        <v>993</v>
      </c>
      <c r="S1676" s="11" t="s">
        <v>994</v>
      </c>
      <c r="T1676" s="12"/>
      <c r="U1676" s="10" t="str">
        <f>HYPERLINK("https://pbs.twimg.com/profile_images/686495616231444480/68bUHQ6J.jpg","View")</f>
        <v>View</v>
      </c>
    </row>
    <row r="1677" spans="1:21" ht="30.6">
      <c r="A1677" s="6">
        <v>43426.840682870374</v>
      </c>
      <c r="B1677" s="7" t="str">
        <f>HYPERLINK("https://twitter.com/CopeJaen","@CopeJaen")</f>
        <v>@CopeJaen</v>
      </c>
      <c r="C1677" s="8" t="s">
        <v>1956</v>
      </c>
      <c r="D1677" s="9" t="s">
        <v>6292</v>
      </c>
      <c r="E1677" s="10" t="str">
        <f>HYPERLINK("https://twitter.com/CopeJaen/status/1065683980446519296","1065683980446519296")</f>
        <v>1065683980446519296</v>
      </c>
      <c r="F1677" s="12"/>
      <c r="G1677" s="11" t="s">
        <v>6293</v>
      </c>
      <c r="H1677" s="12"/>
      <c r="I1677" s="13">
        <v>0</v>
      </c>
      <c r="J1677" s="13">
        <v>0</v>
      </c>
      <c r="K1677" s="14" t="str">
        <f>HYPERLINK("http://twitter.com/download/android","Twitter for Android")</f>
        <v>Twitter for Android</v>
      </c>
      <c r="L1677" s="13">
        <v>5225</v>
      </c>
      <c r="M1677" s="13">
        <v>813</v>
      </c>
      <c r="N1677" s="13">
        <v>78</v>
      </c>
      <c r="O1677" s="15"/>
      <c r="P1677" s="6">
        <v>40450.35396990741</v>
      </c>
      <c r="Q1677" s="17" t="s">
        <v>1960</v>
      </c>
      <c r="R1677" s="18" t="s">
        <v>1961</v>
      </c>
      <c r="S1677" s="11" t="s">
        <v>1962</v>
      </c>
      <c r="T1677" s="12"/>
      <c r="U1677" s="10" t="str">
        <f>HYPERLINK("https://pbs.twimg.com/profile_images/744863350442627072/g2aBUOZK.jpg","View")</f>
        <v>View</v>
      </c>
    </row>
    <row r="1678" spans="1:21" ht="40.799999999999997">
      <c r="A1678" s="6">
        <v>43426.840648148151</v>
      </c>
      <c r="B1678" s="7" t="str">
        <f>HYPERLINK("https://twitter.com/slaymultimedios","@slaymultimedios")</f>
        <v>@slaymultimedios</v>
      </c>
      <c r="C1678" s="8" t="s">
        <v>562</v>
      </c>
      <c r="D1678" s="9" t="s">
        <v>6294</v>
      </c>
      <c r="E1678" s="10" t="str">
        <f>HYPERLINK("https://twitter.com/slaymultimedios/status/1065683969218408448","1065683969218408448")</f>
        <v>1065683969218408448</v>
      </c>
      <c r="F1678" s="11" t="s">
        <v>6295</v>
      </c>
      <c r="G1678" s="11" t="s">
        <v>6296</v>
      </c>
      <c r="H1678" s="12"/>
      <c r="I1678" s="13">
        <v>0</v>
      </c>
      <c r="J1678" s="13">
        <v>0</v>
      </c>
      <c r="K1678" s="14" t="str">
        <f>HYPERLINK("http://www.slaymultimedios.com","WebSiteSlayMultimedios")</f>
        <v>WebSiteSlayMultimedios</v>
      </c>
      <c r="L1678" s="13">
        <v>41749</v>
      </c>
      <c r="M1678" s="13">
        <v>178</v>
      </c>
      <c r="N1678" s="13">
        <v>410</v>
      </c>
      <c r="O1678" s="15"/>
      <c r="P1678" s="6">
        <v>40209.93105324074</v>
      </c>
      <c r="Q1678" s="17" t="s">
        <v>565</v>
      </c>
      <c r="R1678" s="18" t="s">
        <v>566</v>
      </c>
      <c r="S1678" s="11" t="s">
        <v>567</v>
      </c>
      <c r="T1678" s="12"/>
      <c r="U1678" s="10" t="str">
        <f>HYPERLINK("https://pbs.twimg.com/profile_images/714690465916817408/1NXaiuED.jpg","View")</f>
        <v>View</v>
      </c>
    </row>
    <row r="1679" spans="1:21" ht="20.399999999999999">
      <c r="A1679" s="6">
        <v>43426.840219907404</v>
      </c>
      <c r="B1679" s="7" t="str">
        <f>HYPERLINK("https://twitter.com/lunadebenidorm","@lunadebenidorm")</f>
        <v>@lunadebenidorm</v>
      </c>
      <c r="C1679" s="8" t="s">
        <v>2380</v>
      </c>
      <c r="D1679" s="9" t="s">
        <v>6297</v>
      </c>
      <c r="E1679" s="10" t="str">
        <f>HYPERLINK("https://twitter.com/lunadebenidorm/status/1065683812561166339","1065683812561166339")</f>
        <v>1065683812561166339</v>
      </c>
      <c r="F1679" s="11" t="s">
        <v>5550</v>
      </c>
      <c r="G1679" s="12"/>
      <c r="H1679" s="12"/>
      <c r="I1679" s="13">
        <v>0</v>
      </c>
      <c r="J1679" s="13">
        <v>0</v>
      </c>
      <c r="K1679" s="14" t="str">
        <f t="shared" ref="K1679:K1680" si="270">HYPERLINK("http://twitter.com/download/android","Twitter for Android")</f>
        <v>Twitter for Android</v>
      </c>
      <c r="L1679" s="13">
        <v>3991</v>
      </c>
      <c r="M1679" s="13">
        <v>3978</v>
      </c>
      <c r="N1679" s="13">
        <v>79</v>
      </c>
      <c r="O1679" s="15"/>
      <c r="P1679" s="6">
        <v>41461.81186342593</v>
      </c>
      <c r="Q1679" s="12"/>
      <c r="R1679" s="18" t="s">
        <v>2383</v>
      </c>
      <c r="S1679" s="12"/>
      <c r="T1679" s="12"/>
      <c r="U1679" s="10" t="str">
        <f>HYPERLINK("https://pbs.twimg.com/profile_images/1061229593758257153/rePCQt08.jpg","View")</f>
        <v>View</v>
      </c>
    </row>
    <row r="1680" spans="1:21" ht="61.2">
      <c r="A1680" s="6">
        <v>43426.838726851856</v>
      </c>
      <c r="B1680" s="7" t="str">
        <f>HYPERLINK("https://twitter.com/JavierGonzlezO1","@JavierGonzlezO1")</f>
        <v>@JavierGonzlezO1</v>
      </c>
      <c r="C1680" s="8" t="s">
        <v>6298</v>
      </c>
      <c r="D1680" s="9" t="s">
        <v>6299</v>
      </c>
      <c r="E1680" s="10" t="str">
        <f>HYPERLINK("https://twitter.com/JavierGonzlezO1/status/1065683271827230720","1065683271827230720")</f>
        <v>1065683271827230720</v>
      </c>
      <c r="F1680" s="11" t="s">
        <v>6300</v>
      </c>
      <c r="G1680" s="12"/>
      <c r="H1680" s="12"/>
      <c r="I1680" s="13">
        <v>0</v>
      </c>
      <c r="J1680" s="13">
        <v>0</v>
      </c>
      <c r="K1680" s="14" t="str">
        <f t="shared" si="270"/>
        <v>Twitter for Android</v>
      </c>
      <c r="L1680" s="13">
        <v>87</v>
      </c>
      <c r="M1680" s="13">
        <v>346</v>
      </c>
      <c r="N1680" s="13">
        <v>1</v>
      </c>
      <c r="O1680" s="15"/>
      <c r="P1680" s="6">
        <v>42788.807060185187</v>
      </c>
      <c r="Q1680" s="12"/>
      <c r="R1680" s="18" t="s">
        <v>6301</v>
      </c>
      <c r="S1680" s="12"/>
      <c r="T1680" s="12"/>
      <c r="U1680" s="10" t="str">
        <f>HYPERLINK("https://pbs.twimg.com/profile_images/927244308763303936/8dQCHIlE.jpg","View")</f>
        <v>View</v>
      </c>
    </row>
    <row r="1681" spans="1:21" ht="30.6">
      <c r="A1681" s="6">
        <v>43426.838217592594</v>
      </c>
      <c r="B1681" s="7" t="str">
        <f>HYPERLINK("https://twitter.com/marbella24horas","@marbella24horas")</f>
        <v>@marbella24horas</v>
      </c>
      <c r="C1681" s="20" t="s">
        <v>6302</v>
      </c>
      <c r="D1681" s="9" t="s">
        <v>6303</v>
      </c>
      <c r="E1681" s="10" t="str">
        <f>HYPERLINK("https://twitter.com/marbella24horas/status/1065683090620776450","1065683090620776450")</f>
        <v>1065683090620776450</v>
      </c>
      <c r="F1681" s="11" t="s">
        <v>6304</v>
      </c>
      <c r="G1681" s="11" t="s">
        <v>6305</v>
      </c>
      <c r="H1681" s="12"/>
      <c r="I1681" s="13">
        <v>2</v>
      </c>
      <c r="J1681" s="13">
        <v>2</v>
      </c>
      <c r="K1681" s="14" t="str">
        <f>HYPERLINK("https://www.hootsuite.com","Hootsuite Inc.")</f>
        <v>Hootsuite Inc.</v>
      </c>
      <c r="L1681" s="13">
        <v>9523</v>
      </c>
      <c r="M1681" s="13">
        <v>1106</v>
      </c>
      <c r="N1681" s="13">
        <v>115</v>
      </c>
      <c r="O1681" s="15"/>
      <c r="P1681" s="6">
        <v>41107.853020833332</v>
      </c>
      <c r="Q1681" s="12"/>
      <c r="R1681" s="18" t="s">
        <v>6306</v>
      </c>
      <c r="S1681" s="11" t="s">
        <v>6307</v>
      </c>
      <c r="T1681" s="12"/>
      <c r="U1681" s="10" t="str">
        <f>HYPERLINK("https://pbs.twimg.com/profile_images/685805002829500416/F7011C81.jpg","View")</f>
        <v>View</v>
      </c>
    </row>
    <row r="1682" spans="1:21" ht="30.6">
      <c r="A1682" s="6">
        <v>43426.837060185186</v>
      </c>
      <c r="B1682" s="7" t="str">
        <f>HYPERLINK("https://twitter.com/FELIXMA66782826","@FELIXMA66782826")</f>
        <v>@FELIXMA66782826</v>
      </c>
      <c r="C1682" s="8" t="s">
        <v>6273</v>
      </c>
      <c r="D1682" s="9" t="s">
        <v>6308</v>
      </c>
      <c r="E1682" s="10" t="str">
        <f>HYPERLINK("https://twitter.com/FELIXMA66782826/status/1065682668342444032","1065682668342444032")</f>
        <v>1065682668342444032</v>
      </c>
      <c r="F1682" s="12"/>
      <c r="G1682" s="12"/>
      <c r="H1682" s="12"/>
      <c r="I1682" s="13">
        <v>0</v>
      </c>
      <c r="J1682" s="13">
        <v>0</v>
      </c>
      <c r="K1682" s="14" t="str">
        <f>HYPERLINK("http://twitter.com/download/android","Twitter for Android")</f>
        <v>Twitter for Android</v>
      </c>
      <c r="L1682" s="13">
        <v>123</v>
      </c>
      <c r="M1682" s="13">
        <v>419</v>
      </c>
      <c r="N1682" s="13">
        <v>0</v>
      </c>
      <c r="O1682" s="15"/>
      <c r="P1682" s="6">
        <v>43239.908032407402</v>
      </c>
      <c r="Q1682" s="17" t="s">
        <v>277</v>
      </c>
      <c r="R1682" s="18" t="s">
        <v>6275</v>
      </c>
      <c r="S1682" s="12"/>
      <c r="T1682" s="12"/>
      <c r="U1682" s="10" t="str">
        <f>HYPERLINK("https://pbs.twimg.com/profile_images/998112873586069505/YLtC4nWK.jpg","View")</f>
        <v>View</v>
      </c>
    </row>
    <row r="1683" spans="1:21" ht="40.799999999999997">
      <c r="A1683" s="6">
        <v>43426.83666666667</v>
      </c>
      <c r="B1683" s="7" t="str">
        <f>HYPERLINK("https://twitter.com/VeoInfo_","@VeoInfo_")</f>
        <v>@VeoInfo_</v>
      </c>
      <c r="C1683" s="8" t="s">
        <v>456</v>
      </c>
      <c r="D1683" s="9" t="s">
        <v>6309</v>
      </c>
      <c r="E1683" s="10" t="str">
        <f>HYPERLINK("https://twitter.com/VeoInfo_/status/1065682527313174528","1065682527313174528")</f>
        <v>1065682527313174528</v>
      </c>
      <c r="F1683" s="11" t="s">
        <v>6311</v>
      </c>
      <c r="G1683" s="11" t="s">
        <v>6313</v>
      </c>
      <c r="H1683" s="12"/>
      <c r="I1683" s="13">
        <v>0</v>
      </c>
      <c r="J1683" s="13">
        <v>0</v>
      </c>
      <c r="K1683" s="14" t="str">
        <f>HYPERLINK("http://publicize.wp.com/","WordPress.com")</f>
        <v>WordPress.com</v>
      </c>
      <c r="L1683" s="13">
        <v>1135</v>
      </c>
      <c r="M1683" s="13">
        <v>1139</v>
      </c>
      <c r="N1683" s="13">
        <v>36</v>
      </c>
      <c r="O1683" s="15"/>
      <c r="P1683" s="6">
        <v>41881.101840277777</v>
      </c>
      <c r="Q1683" s="17" t="s">
        <v>459</v>
      </c>
      <c r="R1683" s="18" t="s">
        <v>460</v>
      </c>
      <c r="S1683" s="11" t="s">
        <v>461</v>
      </c>
      <c r="T1683" s="12"/>
      <c r="U1683" s="10" t="str">
        <f>HYPERLINK("https://pbs.twimg.com/profile_images/601509372305485827/Val0dfGy.png","View")</f>
        <v>View</v>
      </c>
    </row>
    <row r="1684" spans="1:21" ht="20.399999999999999">
      <c r="A1684" s="6">
        <v>43426.8362037037</v>
      </c>
      <c r="B1684" s="7" t="str">
        <f>HYPERLINK("https://twitter.com/freetourmadrid","@freetourmadrid")</f>
        <v>@freetourmadrid</v>
      </c>
      <c r="C1684" s="8" t="s">
        <v>6316</v>
      </c>
      <c r="D1684" s="9" t="s">
        <v>1143</v>
      </c>
      <c r="E1684" s="10" t="str">
        <f>HYPERLINK("https://twitter.com/freetourmadrid/status/1065682361235456001","1065682361235456001")</f>
        <v>1065682361235456001</v>
      </c>
      <c r="F1684" s="11" t="s">
        <v>1144</v>
      </c>
      <c r="G1684" s="12"/>
      <c r="H1684" s="12"/>
      <c r="I1684" s="13">
        <v>0</v>
      </c>
      <c r="J1684" s="13">
        <v>0</v>
      </c>
      <c r="K1684" s="14" t="str">
        <f>HYPERLINK("http://www.facebook.com/twitter","Facebook")</f>
        <v>Facebook</v>
      </c>
      <c r="L1684" s="13">
        <v>384</v>
      </c>
      <c r="M1684" s="13">
        <v>510</v>
      </c>
      <c r="N1684" s="13">
        <v>38</v>
      </c>
      <c r="O1684" s="15"/>
      <c r="P1684" s="6">
        <v>41618.433113425926</v>
      </c>
      <c r="Q1684" s="17" t="s">
        <v>141</v>
      </c>
      <c r="R1684" s="18" t="s">
        <v>6318</v>
      </c>
      <c r="S1684" s="11" t="s">
        <v>6319</v>
      </c>
      <c r="T1684" s="12"/>
      <c r="U1684" s="10" t="str">
        <f>HYPERLINK("https://pbs.twimg.com/profile_images/834642385225314304/talNc51x.jpg","View")</f>
        <v>View</v>
      </c>
    </row>
    <row r="1685" spans="1:21" ht="20.399999999999999">
      <c r="A1685" s="6">
        <v>43426.834918981476</v>
      </c>
      <c r="B1685" s="7" t="str">
        <f>HYPERLINK("https://twitter.com/Quibonofacite","@Quibonofacite")</f>
        <v>@Quibonofacite</v>
      </c>
      <c r="C1685" s="8" t="s">
        <v>6320</v>
      </c>
      <c r="D1685" s="9" t="s">
        <v>2981</v>
      </c>
      <c r="E1685" s="10" t="str">
        <f>HYPERLINK("https://twitter.com/Quibonofacite/status/1065681893239242752","1065681893239242752")</f>
        <v>1065681893239242752</v>
      </c>
      <c r="F1685" s="11" t="s">
        <v>6321</v>
      </c>
      <c r="G1685" s="12"/>
      <c r="H1685" s="12"/>
      <c r="I1685" s="13">
        <v>0</v>
      </c>
      <c r="J1685" s="13">
        <v>0</v>
      </c>
      <c r="K1685" s="14" t="str">
        <f t="shared" ref="K1685:K1686" si="271">HYPERLINK("http://twitter.com","Twitter Web Client")</f>
        <v>Twitter Web Client</v>
      </c>
      <c r="L1685" s="13">
        <v>101</v>
      </c>
      <c r="M1685" s="13">
        <v>610</v>
      </c>
      <c r="N1685" s="13">
        <v>1</v>
      </c>
      <c r="O1685" s="15"/>
      <c r="P1685" s="6">
        <v>43025.386215277773</v>
      </c>
      <c r="Q1685" s="17" t="s">
        <v>6322</v>
      </c>
      <c r="R1685" s="18" t="s">
        <v>6323</v>
      </c>
      <c r="S1685" s="12"/>
      <c r="T1685" s="12"/>
      <c r="U1685" s="10" t="str">
        <f>HYPERLINK("https://pbs.twimg.com/profile_images/1029629400537542656/f9i0HUbw.jpg","View")</f>
        <v>View</v>
      </c>
    </row>
    <row r="1686" spans="1:21" ht="40.799999999999997">
      <c r="A1686" s="6">
        <v>43426.834548611107</v>
      </c>
      <c r="B1686" s="7" t="str">
        <f>HYPERLINK("https://twitter.com/Marisseta","@Marisseta")</f>
        <v>@Marisseta</v>
      </c>
      <c r="C1686" s="8" t="s">
        <v>6324</v>
      </c>
      <c r="D1686" s="9" t="s">
        <v>6325</v>
      </c>
      <c r="E1686" s="10" t="str">
        <f>HYPERLINK("https://twitter.com/Marisseta/status/1065681758958624769","1065681758958624769")</f>
        <v>1065681758958624769</v>
      </c>
      <c r="F1686" s="12"/>
      <c r="G1686" s="12"/>
      <c r="H1686" s="12"/>
      <c r="I1686" s="13">
        <v>2</v>
      </c>
      <c r="J1686" s="13">
        <v>2</v>
      </c>
      <c r="K1686" s="14" t="str">
        <f t="shared" si="271"/>
        <v>Twitter Web Client</v>
      </c>
      <c r="L1686" s="13">
        <v>2017</v>
      </c>
      <c r="M1686" s="13">
        <v>1887</v>
      </c>
      <c r="N1686" s="13">
        <v>120</v>
      </c>
      <c r="O1686" s="15"/>
      <c r="P1686" s="6">
        <v>40024.460740740738</v>
      </c>
      <c r="Q1686" s="17" t="s">
        <v>550</v>
      </c>
      <c r="R1686" s="18" t="s">
        <v>6326</v>
      </c>
      <c r="S1686" s="12"/>
      <c r="T1686" s="12"/>
      <c r="U1686" s="10" t="str">
        <f>HYPERLINK("https://pbs.twimg.com/profile_images/804503355833905157/_jLh908E.jpg","View")</f>
        <v>View</v>
      </c>
    </row>
    <row r="1687" spans="1:21" ht="51">
      <c r="A1687" s="6">
        <v>43426.834143518514</v>
      </c>
      <c r="B1687" s="7" t="str">
        <f>HYPERLINK("https://twitter.com/jmam865s","@jmam865s")</f>
        <v>@jmam865s</v>
      </c>
      <c r="C1687" s="8" t="s">
        <v>6327</v>
      </c>
      <c r="D1687" s="9" t="s">
        <v>6328</v>
      </c>
      <c r="E1687" s="10" t="str">
        <f>HYPERLINK("https://twitter.com/jmam865s/status/1065681611272986625","1065681611272986625")</f>
        <v>1065681611272986625</v>
      </c>
      <c r="F1687" s="11" t="s">
        <v>1331</v>
      </c>
      <c r="G1687" s="12"/>
      <c r="H1687" s="12"/>
      <c r="I1687" s="13">
        <v>0</v>
      </c>
      <c r="J1687" s="13">
        <v>0</v>
      </c>
      <c r="K1687" s="14" t="str">
        <f>HYPERLINK("http://twitter.com/download/android","Twitter for Android")</f>
        <v>Twitter for Android</v>
      </c>
      <c r="L1687" s="13">
        <v>106</v>
      </c>
      <c r="M1687" s="13">
        <v>181</v>
      </c>
      <c r="N1687" s="13">
        <v>4</v>
      </c>
      <c r="O1687" s="15"/>
      <c r="P1687" s="6">
        <v>41342.900208333333</v>
      </c>
      <c r="Q1687" s="12"/>
      <c r="R1687" s="18" t="s">
        <v>6329</v>
      </c>
      <c r="S1687" s="12"/>
      <c r="T1687" s="12"/>
      <c r="U1687" s="10" t="str">
        <f>HYPERLINK("https://pbs.twimg.com/profile_images/932337503176192000/hNz8TR8G.jpg","View")</f>
        <v>View</v>
      </c>
    </row>
    <row r="1688" spans="1:21" ht="30.6">
      <c r="A1688" s="6">
        <v>43426.833356481482</v>
      </c>
      <c r="B1688" s="7" t="str">
        <f>HYPERLINK("https://twitter.com/ATodoMomento_","@ATodoMomento_")</f>
        <v>@ATodoMomento_</v>
      </c>
      <c r="C1688" s="8" t="s">
        <v>2581</v>
      </c>
      <c r="D1688" s="9" t="s">
        <v>6330</v>
      </c>
      <c r="E1688" s="10" t="str">
        <f>HYPERLINK("https://twitter.com/ATodoMomento_/status/1065681325301137413","1065681325301137413")</f>
        <v>1065681325301137413</v>
      </c>
      <c r="F1688" s="11" t="s">
        <v>6331</v>
      </c>
      <c r="G1688" s="12"/>
      <c r="H1688" s="12"/>
      <c r="I1688" s="13">
        <v>2</v>
      </c>
      <c r="J1688" s="13">
        <v>0</v>
      </c>
      <c r="K1688" s="14" t="str">
        <f>HYPERLINK("https://about.twitter.com/products/tweetdeck","TweetDeck")</f>
        <v>TweetDeck</v>
      </c>
      <c r="L1688" s="13">
        <v>109746</v>
      </c>
      <c r="M1688" s="13">
        <v>1587</v>
      </c>
      <c r="N1688" s="13">
        <v>575</v>
      </c>
      <c r="O1688" s="15"/>
      <c r="P1688" s="6">
        <v>41690.665486111109</v>
      </c>
      <c r="Q1688" s="17" t="s">
        <v>383</v>
      </c>
      <c r="R1688" s="18" t="s">
        <v>2582</v>
      </c>
      <c r="S1688" s="11" t="s">
        <v>2583</v>
      </c>
      <c r="T1688" s="12"/>
      <c r="U1688" s="10" t="str">
        <f>HYPERLINK("https://pbs.twimg.com/profile_images/817781707088822272/roPobZmV.jpg","View")</f>
        <v>View</v>
      </c>
    </row>
    <row r="1689" spans="1:21" ht="30.6">
      <c r="A1689" s="6">
        <v>43426.832615740743</v>
      </c>
      <c r="B1689" s="7" t="str">
        <f>HYPERLINK("https://twitter.com/riduran_p","@riduran_p")</f>
        <v>@riduran_p</v>
      </c>
      <c r="C1689" s="8" t="s">
        <v>3624</v>
      </c>
      <c r="D1689" s="9" t="s">
        <v>2088</v>
      </c>
      <c r="E1689" s="10" t="str">
        <f>HYPERLINK("https://twitter.com/riduran_p/status/1065681057759019008","1065681057759019008")</f>
        <v>1065681057759019008</v>
      </c>
      <c r="F1689" s="11" t="s">
        <v>2089</v>
      </c>
      <c r="G1689" s="12"/>
      <c r="H1689" s="12"/>
      <c r="I1689" s="13">
        <v>2</v>
      </c>
      <c r="J1689" s="13">
        <v>1</v>
      </c>
      <c r="K1689" s="14" t="str">
        <f>HYPERLINK("http://twitter.com","Twitter Web Client")</f>
        <v>Twitter Web Client</v>
      </c>
      <c r="L1689" s="13">
        <v>8433</v>
      </c>
      <c r="M1689" s="13">
        <v>7344</v>
      </c>
      <c r="N1689" s="13">
        <v>22</v>
      </c>
      <c r="O1689" s="15"/>
      <c r="P1689" s="6">
        <v>40678.594918981486</v>
      </c>
      <c r="Q1689" s="17" t="s">
        <v>202</v>
      </c>
      <c r="R1689" s="18" t="s">
        <v>3627</v>
      </c>
      <c r="S1689" s="11" t="s">
        <v>3628</v>
      </c>
      <c r="T1689" s="12"/>
      <c r="U1689" s="10" t="str">
        <f>HYPERLINK("https://pbs.twimg.com/profile_images/972822677244272640/23HaWXad.jpg","View")</f>
        <v>View</v>
      </c>
    </row>
    <row r="1690" spans="1:21" ht="30.6">
      <c r="A1690" s="6">
        <v>43426.831990740742</v>
      </c>
      <c r="B1690" s="7" t="str">
        <f>HYPERLINK("https://twitter.com/TeleAguilas","@TeleAguilas")</f>
        <v>@TeleAguilas</v>
      </c>
      <c r="C1690" s="8" t="s">
        <v>6332</v>
      </c>
      <c r="D1690" s="9" t="s">
        <v>6333</v>
      </c>
      <c r="E1690" s="10" t="str">
        <f>HYPERLINK("https://twitter.com/TeleAguilas/status/1065680832428273664","1065680832428273664")</f>
        <v>1065680832428273664</v>
      </c>
      <c r="F1690" s="11" t="s">
        <v>6334</v>
      </c>
      <c r="G1690" s="11" t="s">
        <v>6335</v>
      </c>
      <c r="H1690" s="12"/>
      <c r="I1690" s="13">
        <v>0</v>
      </c>
      <c r="J1690" s="13">
        <v>0</v>
      </c>
      <c r="K1690" s="14" t="str">
        <f>HYPERLINK("https://dlvrit.com/","dlvr.it")</f>
        <v>dlvr.it</v>
      </c>
      <c r="L1690" s="13">
        <v>249</v>
      </c>
      <c r="M1690" s="13">
        <v>215</v>
      </c>
      <c r="N1690" s="13">
        <v>3</v>
      </c>
      <c r="O1690" s="15"/>
      <c r="P1690" s="6">
        <v>41519.49019675926</v>
      </c>
      <c r="Q1690" s="17" t="s">
        <v>6336</v>
      </c>
      <c r="R1690" s="18" t="s">
        <v>6337</v>
      </c>
      <c r="S1690" s="11" t="s">
        <v>6338</v>
      </c>
      <c r="T1690" s="12"/>
      <c r="U1690" s="10" t="str">
        <f>HYPERLINK("https://pbs.twimg.com/profile_images/972072846628474881/Li_TkYpp.jpg","View")</f>
        <v>View</v>
      </c>
    </row>
    <row r="1691" spans="1:21" ht="40.799999999999997">
      <c r="A1691" s="6">
        <v>43426.831458333334</v>
      </c>
      <c r="B1691" s="7" t="str">
        <f>HYPERLINK("https://twitter.com/diariovasco","@diariovasco")</f>
        <v>@diariovasco</v>
      </c>
      <c r="C1691" s="8" t="s">
        <v>4419</v>
      </c>
      <c r="D1691" s="9" t="s">
        <v>6339</v>
      </c>
      <c r="E1691" s="10" t="str">
        <f>HYPERLINK("https://twitter.com/diariovasco/status/1065680639242969088","1065680639242969088")</f>
        <v>1065680639242969088</v>
      </c>
      <c r="F1691" s="11" t="s">
        <v>6340</v>
      </c>
      <c r="G1691" s="12"/>
      <c r="H1691" s="12"/>
      <c r="I1691" s="13">
        <v>0</v>
      </c>
      <c r="J1691" s="13">
        <v>1</v>
      </c>
      <c r="K1691" s="14" t="str">
        <f>HYPERLINK("https://www.socialgest.net","SocialGest")</f>
        <v>SocialGest</v>
      </c>
      <c r="L1691" s="13">
        <v>76409</v>
      </c>
      <c r="M1691" s="13">
        <v>882</v>
      </c>
      <c r="N1691" s="13">
        <v>1315</v>
      </c>
      <c r="O1691" s="16" t="s">
        <v>26</v>
      </c>
      <c r="P1691" s="6">
        <v>39542.815335648149</v>
      </c>
      <c r="Q1691" s="17" t="s">
        <v>4421</v>
      </c>
      <c r="R1691" s="18" t="s">
        <v>4422</v>
      </c>
      <c r="S1691" s="11" t="s">
        <v>4423</v>
      </c>
      <c r="T1691" s="12"/>
      <c r="U1691" s="10" t="str">
        <f>HYPERLINK("https://pbs.twimg.com/profile_images/972010219600359425/oUPn-qlC.jpg","View")</f>
        <v>View</v>
      </c>
    </row>
    <row r="1692" spans="1:21" ht="30.6">
      <c r="A1692" s="6">
        <v>43426.831388888888</v>
      </c>
      <c r="B1692" s="7" t="str">
        <f>HYPERLINK("https://twitter.com/PDLMarina","@PDLMarina")</f>
        <v>@PDLMarina</v>
      </c>
      <c r="C1692" s="8" t="s">
        <v>6342</v>
      </c>
      <c r="D1692" s="9" t="s">
        <v>5549</v>
      </c>
      <c r="E1692" s="10" t="str">
        <f>HYPERLINK("https://twitter.com/PDLMarina/status/1065680614152695809","1065680614152695809")</f>
        <v>1065680614152695809</v>
      </c>
      <c r="F1692" s="11" t="s">
        <v>5550</v>
      </c>
      <c r="G1692" s="12"/>
      <c r="H1692" s="12"/>
      <c r="I1692" s="13">
        <v>1</v>
      </c>
      <c r="J1692" s="13">
        <v>1</v>
      </c>
      <c r="K1692" s="14" t="str">
        <f>HYPERLINK("http://twitter.com","Twitter Web Client")</f>
        <v>Twitter Web Client</v>
      </c>
      <c r="L1692" s="13">
        <v>344</v>
      </c>
      <c r="M1692" s="13">
        <v>768</v>
      </c>
      <c r="N1692" s="13">
        <v>0</v>
      </c>
      <c r="O1692" s="15"/>
      <c r="P1692" s="6">
        <v>41678.889976851853</v>
      </c>
      <c r="Q1692" s="12"/>
      <c r="R1692" s="18" t="s">
        <v>6343</v>
      </c>
      <c r="S1692" s="12"/>
      <c r="T1692" s="12"/>
      <c r="U1692" s="10" t="str">
        <f>HYPERLINK("https://pbs.twimg.com/profile_images/432259173699436544/JvIWFHNk.jpeg","View")</f>
        <v>View</v>
      </c>
    </row>
    <row r="1693" spans="1:21" ht="20.399999999999999">
      <c r="A1693" s="6">
        <v>43426.831030092595</v>
      </c>
      <c r="B1693" s="7" t="str">
        <f>HYPERLINK("https://twitter.com/paco0856","@paco0856")</f>
        <v>@paco0856</v>
      </c>
      <c r="C1693" s="8" t="s">
        <v>6344</v>
      </c>
      <c r="D1693" s="9" t="s">
        <v>6345</v>
      </c>
      <c r="E1693" s="10" t="str">
        <f>HYPERLINK("https://twitter.com/paco0856/status/1065680484536123392","1065680484536123392")</f>
        <v>1065680484536123392</v>
      </c>
      <c r="F1693" s="11" t="s">
        <v>6346</v>
      </c>
      <c r="G1693" s="12"/>
      <c r="H1693" s="12"/>
      <c r="I1693" s="13">
        <v>0</v>
      </c>
      <c r="J1693" s="13">
        <v>0</v>
      </c>
      <c r="K1693" s="14" t="str">
        <f>HYPERLINK("http://twitter.com/download/iphone","Twitter for iPhone")</f>
        <v>Twitter for iPhone</v>
      </c>
      <c r="L1693" s="13">
        <v>73</v>
      </c>
      <c r="M1693" s="13">
        <v>132</v>
      </c>
      <c r="N1693" s="13">
        <v>2</v>
      </c>
      <c r="O1693" s="15"/>
      <c r="P1693" s="6">
        <v>41217.412754629629</v>
      </c>
      <c r="Q1693" s="17" t="s">
        <v>6347</v>
      </c>
      <c r="R1693" s="19"/>
      <c r="S1693" s="12"/>
      <c r="T1693" s="12"/>
      <c r="U1693" s="10" t="str">
        <f>HYPERLINK("https://pbs.twimg.com/profile_images/1017146811184762880/O7oX9AOo.jpg","View")</f>
        <v>View</v>
      </c>
    </row>
    <row r="1694" spans="1:21" ht="40.799999999999997">
      <c r="A1694" s="6">
        <v>43426.830868055556</v>
      </c>
      <c r="B1694" s="7" t="str">
        <f>HYPERLINK("https://twitter.com/987Goretti","@987Goretti")</f>
        <v>@987Goretti</v>
      </c>
      <c r="C1694" s="8" t="s">
        <v>6348</v>
      </c>
      <c r="D1694" s="9" t="s">
        <v>6349</v>
      </c>
      <c r="E1694" s="10" t="str">
        <f>HYPERLINK("https://twitter.com/987Goretti/status/1065680427241873408","1065680427241873408")</f>
        <v>1065680427241873408</v>
      </c>
      <c r="F1694" s="11" t="s">
        <v>6350</v>
      </c>
      <c r="G1694" s="12"/>
      <c r="H1694" s="12"/>
      <c r="I1694" s="13">
        <v>1</v>
      </c>
      <c r="J1694" s="13">
        <v>1</v>
      </c>
      <c r="K1694" s="14" t="str">
        <f t="shared" ref="K1694:K1696" si="272">HYPERLINK("http://twitter.com","Twitter Web Client")</f>
        <v>Twitter Web Client</v>
      </c>
      <c r="L1694" s="13">
        <v>1954</v>
      </c>
      <c r="M1694" s="13">
        <v>2581</v>
      </c>
      <c r="N1694" s="13">
        <v>52</v>
      </c>
      <c r="O1694" s="15"/>
      <c r="P1694" s="6">
        <v>41789.945173611108</v>
      </c>
      <c r="Q1694" s="17" t="s">
        <v>6351</v>
      </c>
      <c r="R1694" s="18" t="s">
        <v>6352</v>
      </c>
      <c r="S1694" s="12"/>
      <c r="T1694" s="12"/>
      <c r="U1694" s="10" t="str">
        <f>HYPERLINK("https://pbs.twimg.com/profile_images/1065943368860135424/B3tqJTHz.jpg","View")</f>
        <v>View</v>
      </c>
    </row>
    <row r="1695" spans="1:21" ht="20.399999999999999">
      <c r="A1695" s="6">
        <v>43426.830752314811</v>
      </c>
      <c r="B1695" s="7" t="str">
        <f>HYPERLINK("https://twitter.com/MarcelGascon","@MarcelGascon")</f>
        <v>@MarcelGascon</v>
      </c>
      <c r="C1695" s="8" t="s">
        <v>6250</v>
      </c>
      <c r="D1695" s="9" t="s">
        <v>2088</v>
      </c>
      <c r="E1695" s="10" t="str">
        <f>HYPERLINK("https://twitter.com/MarcelGascon/status/1065680382643847168","1065680382643847168")</f>
        <v>1065680382643847168</v>
      </c>
      <c r="F1695" s="11" t="s">
        <v>2089</v>
      </c>
      <c r="G1695" s="12"/>
      <c r="H1695" s="12"/>
      <c r="I1695" s="13">
        <v>0</v>
      </c>
      <c r="J1695" s="13">
        <v>0</v>
      </c>
      <c r="K1695" s="14" t="str">
        <f t="shared" si="272"/>
        <v>Twitter Web Client</v>
      </c>
      <c r="L1695" s="13">
        <v>1391</v>
      </c>
      <c r="M1695" s="13">
        <v>1790</v>
      </c>
      <c r="N1695" s="13">
        <v>65</v>
      </c>
      <c r="O1695" s="15"/>
      <c r="P1695" s="6">
        <v>40626.817499999997</v>
      </c>
      <c r="Q1695" s="17" t="s">
        <v>6253</v>
      </c>
      <c r="R1695" s="19"/>
      <c r="S1695" s="12"/>
      <c r="T1695" s="12"/>
      <c r="U1695" s="10" t="str">
        <f>HYPERLINK("https://pbs.twimg.com/profile_images/1056220722593435648/3qO3Cr1V.jpg","View")</f>
        <v>View</v>
      </c>
    </row>
    <row r="1696" spans="1:21" ht="51">
      <c r="A1696" s="6">
        <v>43426.829375000001</v>
      </c>
      <c r="B1696" s="7" t="str">
        <f>HYPERLINK("https://twitter.com/indpcom","@indpcom")</f>
        <v>@indpcom</v>
      </c>
      <c r="C1696" s="8" t="s">
        <v>2568</v>
      </c>
      <c r="D1696" s="9" t="s">
        <v>6239</v>
      </c>
      <c r="E1696" s="10" t="str">
        <f>HYPERLINK("https://twitter.com/indpcom/status/1065679884238901250","1065679884238901250")</f>
        <v>1065679884238901250</v>
      </c>
      <c r="F1696" s="11" t="s">
        <v>6240</v>
      </c>
      <c r="G1696" s="12"/>
      <c r="H1696" s="12"/>
      <c r="I1696" s="13">
        <v>11</v>
      </c>
      <c r="J1696" s="13">
        <v>6</v>
      </c>
      <c r="K1696" s="14" t="str">
        <f t="shared" si="272"/>
        <v>Twitter Web Client</v>
      </c>
      <c r="L1696" s="13">
        <v>57681</v>
      </c>
      <c r="M1696" s="13">
        <v>1302</v>
      </c>
      <c r="N1696" s="13">
        <v>1097</v>
      </c>
      <c r="O1696" s="16" t="s">
        <v>26</v>
      </c>
      <c r="P1696" s="6">
        <v>42537.702719907407</v>
      </c>
      <c r="Q1696" s="17" t="s">
        <v>141</v>
      </c>
      <c r="R1696" s="18" t="s">
        <v>2569</v>
      </c>
      <c r="S1696" s="11" t="s">
        <v>2570</v>
      </c>
      <c r="T1696" s="12"/>
      <c r="U1696" s="10" t="str">
        <f>HYPERLINK("https://pbs.twimg.com/profile_images/773807977069420544/o4tNI4zQ.jpg","View")</f>
        <v>View</v>
      </c>
    </row>
    <row r="1697" spans="1:21" ht="30.6">
      <c r="A1697" s="6">
        <v>43426.829363425924</v>
      </c>
      <c r="B1697" s="7" t="str">
        <f>HYPERLINK("https://twitter.com/FRANDEDIOSM","@FRANDEDIOSM")</f>
        <v>@FRANDEDIOSM</v>
      </c>
      <c r="C1697" s="8" t="s">
        <v>588</v>
      </c>
      <c r="D1697" s="9" t="s">
        <v>6006</v>
      </c>
      <c r="E1697" s="10" t="str">
        <f>HYPERLINK("https://twitter.com/FRANDEDIOSM/status/1065679882301186051","1065679882301186051")</f>
        <v>1065679882301186051</v>
      </c>
      <c r="F1697" s="11" t="s">
        <v>6007</v>
      </c>
      <c r="G1697" s="12"/>
      <c r="H1697" s="12"/>
      <c r="I1697" s="13">
        <v>0</v>
      </c>
      <c r="J1697" s="13">
        <v>0</v>
      </c>
      <c r="K1697" s="14" t="str">
        <f>HYPERLINK("http://twitter.com/download/iphone","Twitter for iPhone")</f>
        <v>Twitter for iPhone</v>
      </c>
      <c r="L1697" s="13">
        <v>149</v>
      </c>
      <c r="M1697" s="13">
        <v>403</v>
      </c>
      <c r="N1697" s="13">
        <v>2</v>
      </c>
      <c r="O1697" s="15"/>
      <c r="P1697" s="6">
        <v>40807.361944444448</v>
      </c>
      <c r="Q1697" s="17" t="s">
        <v>6008</v>
      </c>
      <c r="R1697" s="18" t="s">
        <v>6009</v>
      </c>
      <c r="S1697" s="12"/>
      <c r="T1697" s="12"/>
      <c r="U1697" s="10" t="str">
        <f>HYPERLINK("https://pbs.twimg.com/profile_images/731941268302008320/RPC8VcB8.jpg","View")</f>
        <v>View</v>
      </c>
    </row>
    <row r="1698" spans="1:21" ht="30.6">
      <c r="A1698" s="6">
        <v>43426.829224537039</v>
      </c>
      <c r="B1698" s="7" t="str">
        <f>HYPERLINK("https://twitter.com/chuchutren7","@chuchutren7")</f>
        <v>@chuchutren7</v>
      </c>
      <c r="C1698" s="8" t="s">
        <v>6357</v>
      </c>
      <c r="D1698" s="9" t="s">
        <v>6358</v>
      </c>
      <c r="E1698" s="10" t="str">
        <f>HYPERLINK("https://twitter.com/chuchutren7/status/1065679831067762688","1065679831067762688")</f>
        <v>1065679831067762688</v>
      </c>
      <c r="F1698" s="12"/>
      <c r="G1698" s="12"/>
      <c r="H1698" s="12"/>
      <c r="I1698" s="13">
        <v>0</v>
      </c>
      <c r="J1698" s="13">
        <v>0</v>
      </c>
      <c r="K1698" s="14" t="str">
        <f t="shared" ref="K1698:K1699" si="273">HYPERLINK("http://twitter.com","Twitter Web Client")</f>
        <v>Twitter Web Client</v>
      </c>
      <c r="L1698" s="13">
        <v>14054</v>
      </c>
      <c r="M1698" s="13">
        <v>15498</v>
      </c>
      <c r="N1698" s="13">
        <v>76</v>
      </c>
      <c r="O1698" s="15"/>
      <c r="P1698" s="6">
        <v>40398.875405092593</v>
      </c>
      <c r="Q1698" s="17" t="s">
        <v>104</v>
      </c>
      <c r="R1698" s="18" t="s">
        <v>6359</v>
      </c>
      <c r="S1698" s="11" t="s">
        <v>6360</v>
      </c>
      <c r="T1698" s="12"/>
      <c r="U1698" s="10" t="str">
        <f>HYPERLINK("https://pbs.twimg.com/profile_images/3066062953/9ef22f37016649891054678f46b72302.jpeg","View")</f>
        <v>View</v>
      </c>
    </row>
    <row r="1699" spans="1:21" ht="30.6">
      <c r="A1699" s="6">
        <v>43426.8283912037</v>
      </c>
      <c r="B1699" s="7" t="str">
        <f>HYPERLINK("https://twitter.com/VidalJuanma","@VidalJuanma")</f>
        <v>@VidalJuanma</v>
      </c>
      <c r="C1699" s="8" t="s">
        <v>6198</v>
      </c>
      <c r="D1699" s="9" t="s">
        <v>6361</v>
      </c>
      <c r="E1699" s="10" t="str">
        <f>HYPERLINK("https://twitter.com/VidalJuanma/status/1065679527790161925","1065679527790161925")</f>
        <v>1065679527790161925</v>
      </c>
      <c r="F1699" s="11" t="s">
        <v>4895</v>
      </c>
      <c r="G1699" s="12"/>
      <c r="H1699" s="12"/>
      <c r="I1699" s="13">
        <v>0</v>
      </c>
      <c r="J1699" s="13">
        <v>0</v>
      </c>
      <c r="K1699" s="14" t="str">
        <f t="shared" si="273"/>
        <v>Twitter Web Client</v>
      </c>
      <c r="L1699" s="13">
        <v>5095</v>
      </c>
      <c r="M1699" s="13">
        <v>4248</v>
      </c>
      <c r="N1699" s="13">
        <v>108</v>
      </c>
      <c r="O1699" s="15"/>
      <c r="P1699" s="6">
        <v>40585.843981481477</v>
      </c>
      <c r="Q1699" s="17" t="s">
        <v>6201</v>
      </c>
      <c r="R1699" s="18" t="s">
        <v>6202</v>
      </c>
      <c r="S1699" s="12"/>
      <c r="T1699" s="12"/>
      <c r="U1699" s="10" t="str">
        <f>HYPERLINK("https://pbs.twimg.com/profile_images/1063583830127403008/6aHeVYqS.jpg","View")</f>
        <v>View</v>
      </c>
    </row>
    <row r="1700" spans="1:21" ht="40.799999999999997">
      <c r="A1700" s="6">
        <v>43426.827847222223</v>
      </c>
      <c r="B1700" s="7" t="str">
        <f>HYPERLINK("https://twitter.com/luisalcazar_","@luisalcazar_")</f>
        <v>@luisalcazar_</v>
      </c>
      <c r="C1700" s="8" t="s">
        <v>6362</v>
      </c>
      <c r="D1700" s="9" t="s">
        <v>6363</v>
      </c>
      <c r="E1700" s="10" t="str">
        <f>HYPERLINK("https://twitter.com/luisalcazar_/status/1065679332167815168","1065679332167815168")</f>
        <v>1065679332167815168</v>
      </c>
      <c r="F1700" s="12"/>
      <c r="G1700" s="12"/>
      <c r="H1700" s="12"/>
      <c r="I1700" s="13">
        <v>1</v>
      </c>
      <c r="J1700" s="13">
        <v>4</v>
      </c>
      <c r="K1700" s="14" t="str">
        <f>HYPERLINK("http://twitter.com/download/iphone","Twitter for iPhone")</f>
        <v>Twitter for iPhone</v>
      </c>
      <c r="L1700" s="13">
        <v>7922</v>
      </c>
      <c r="M1700" s="13">
        <v>1612</v>
      </c>
      <c r="N1700" s="13">
        <v>225</v>
      </c>
      <c r="O1700" s="15"/>
      <c r="P1700" s="6">
        <v>40419.578113425923</v>
      </c>
      <c r="Q1700" s="17" t="s">
        <v>3507</v>
      </c>
      <c r="R1700" s="18" t="s">
        <v>6364</v>
      </c>
      <c r="S1700" s="11" t="s">
        <v>6365</v>
      </c>
      <c r="T1700" s="12"/>
      <c r="U1700" s="10" t="str">
        <f>HYPERLINK("https://pbs.twimg.com/profile_images/595005321564835841/EhKGXIPO.jpg","View")</f>
        <v>View</v>
      </c>
    </row>
    <row r="1701" spans="1:21" ht="30.6">
      <c r="A1701" s="6">
        <v>43426.827199074076</v>
      </c>
      <c r="B1701" s="7" t="str">
        <f>HYPERLINK("https://twitter.com/desmarquedepor","@desmarquedepor")</f>
        <v>@desmarquedepor</v>
      </c>
      <c r="C1701" s="8" t="s">
        <v>1148</v>
      </c>
      <c r="D1701" s="9" t="s">
        <v>6366</v>
      </c>
      <c r="E1701" s="10" t="str">
        <f>HYPERLINK("https://twitter.com/desmarquedepor/status/1065679094766018560","1065679094766018560")</f>
        <v>1065679094766018560</v>
      </c>
      <c r="F1701" s="11" t="s">
        <v>6367</v>
      </c>
      <c r="G1701" s="11" t="s">
        <v>6368</v>
      </c>
      <c r="H1701" s="12"/>
      <c r="I1701" s="13">
        <v>1</v>
      </c>
      <c r="J1701" s="13">
        <v>2</v>
      </c>
      <c r="K1701" s="14" t="str">
        <f t="shared" ref="K1701:K1702" si="274">HYPERLINK("http://twitter.com","Twitter Web Client")</f>
        <v>Twitter Web Client</v>
      </c>
      <c r="L1701" s="13">
        <v>3871</v>
      </c>
      <c r="M1701" s="13">
        <v>325</v>
      </c>
      <c r="N1701" s="13">
        <v>98</v>
      </c>
      <c r="O1701" s="15"/>
      <c r="P1701" s="6">
        <v>42301.794722222221</v>
      </c>
      <c r="Q1701" s="17" t="s">
        <v>1122</v>
      </c>
      <c r="R1701" s="18" t="s">
        <v>1152</v>
      </c>
      <c r="S1701" s="11" t="s">
        <v>1153</v>
      </c>
      <c r="T1701" s="12"/>
      <c r="U1701" s="10" t="str">
        <f>HYPERLINK("https://pbs.twimg.com/profile_images/1007117938573312003/xpNnwlna.jpg","View")</f>
        <v>View</v>
      </c>
    </row>
    <row r="1702" spans="1:21" ht="30.6">
      <c r="A1702" s="6">
        <v>43426.826597222222</v>
      </c>
      <c r="B1702" s="7" t="str">
        <f>HYPERLINK("https://twitter.com/PirataDelDeseo1","@PirataDelDeseo1")</f>
        <v>@PirataDelDeseo1</v>
      </c>
      <c r="C1702" s="8" t="s">
        <v>6369</v>
      </c>
      <c r="D1702" s="9" t="s">
        <v>6370</v>
      </c>
      <c r="E1702" s="10" t="str">
        <f>HYPERLINK("https://twitter.com/PirataDelDeseo1/status/1065678877664714753","1065678877664714753")</f>
        <v>1065678877664714753</v>
      </c>
      <c r="F1702" s="11" t="s">
        <v>6371</v>
      </c>
      <c r="G1702" s="12"/>
      <c r="H1702" s="12"/>
      <c r="I1702" s="13">
        <v>0</v>
      </c>
      <c r="J1702" s="13">
        <v>0</v>
      </c>
      <c r="K1702" s="14" t="str">
        <f t="shared" si="274"/>
        <v>Twitter Web Client</v>
      </c>
      <c r="L1702" s="13">
        <v>253</v>
      </c>
      <c r="M1702" s="13">
        <v>252</v>
      </c>
      <c r="N1702" s="13">
        <v>5</v>
      </c>
      <c r="O1702" s="15"/>
      <c r="P1702" s="6">
        <v>42643.985844907409</v>
      </c>
      <c r="Q1702" s="12"/>
      <c r="R1702" s="18" t="s">
        <v>6372</v>
      </c>
      <c r="S1702" s="12"/>
      <c r="T1702" s="12"/>
      <c r="U1702" s="10" t="str">
        <f>HYPERLINK("https://pbs.twimg.com/profile_images/822132692624035840/FEs2hnC7.jpg","View")</f>
        <v>View</v>
      </c>
    </row>
    <row r="1703" spans="1:21" ht="20.399999999999999">
      <c r="A1703" s="6">
        <v>43426.826504629629</v>
      </c>
      <c r="B1703" s="7" t="str">
        <f>HYPERLINK("https://twitter.com/lunadebenidorm","@lunadebenidorm")</f>
        <v>@lunadebenidorm</v>
      </c>
      <c r="C1703" s="8" t="s">
        <v>2380</v>
      </c>
      <c r="D1703" s="9" t="s">
        <v>6373</v>
      </c>
      <c r="E1703" s="10" t="str">
        <f>HYPERLINK("https://twitter.com/lunadebenidorm/status/1065678845649580033","1065678845649580033")</f>
        <v>1065678845649580033</v>
      </c>
      <c r="F1703" s="11" t="s">
        <v>1331</v>
      </c>
      <c r="G1703" s="12"/>
      <c r="H1703" s="12"/>
      <c r="I1703" s="13">
        <v>0</v>
      </c>
      <c r="J1703" s="13">
        <v>1</v>
      </c>
      <c r="K1703" s="14" t="str">
        <f>HYPERLINK("http://twitter.com/download/android","Twitter for Android")</f>
        <v>Twitter for Android</v>
      </c>
      <c r="L1703" s="13">
        <v>3991</v>
      </c>
      <c r="M1703" s="13">
        <v>3978</v>
      </c>
      <c r="N1703" s="13">
        <v>79</v>
      </c>
      <c r="O1703" s="15"/>
      <c r="P1703" s="6">
        <v>41461.81186342593</v>
      </c>
      <c r="Q1703" s="12"/>
      <c r="R1703" s="18" t="s">
        <v>2383</v>
      </c>
      <c r="S1703" s="12"/>
      <c r="T1703" s="12"/>
      <c r="U1703" s="10" t="str">
        <f>HYPERLINK("https://pbs.twimg.com/profile_images/1061229593758257153/rePCQt08.jpg","View")</f>
        <v>View</v>
      </c>
    </row>
    <row r="1704" spans="1:21" ht="20.399999999999999">
      <c r="A1704" s="6">
        <v>43426.826157407406</v>
      </c>
      <c r="B1704" s="7" t="str">
        <f>HYPERLINK("https://twitter.com/RinaldoMNodarse","@RinaldoMNodarse")</f>
        <v>@RinaldoMNodarse</v>
      </c>
      <c r="C1704" s="8" t="s">
        <v>6374</v>
      </c>
      <c r="D1704" s="9" t="s">
        <v>2981</v>
      </c>
      <c r="E1704" s="10" t="str">
        <f>HYPERLINK("https://twitter.com/RinaldoMNodarse/status/1065678718448934912","1065678718448934912")</f>
        <v>1065678718448934912</v>
      </c>
      <c r="F1704" s="11" t="s">
        <v>6375</v>
      </c>
      <c r="G1704" s="12"/>
      <c r="H1704" s="12"/>
      <c r="I1704" s="13">
        <v>0</v>
      </c>
      <c r="J1704" s="13">
        <v>0</v>
      </c>
      <c r="K1704" s="14" t="str">
        <f t="shared" ref="K1704:K1705" si="275">HYPERLINK("http://twitter.com","Twitter Web Client")</f>
        <v>Twitter Web Client</v>
      </c>
      <c r="L1704" s="13">
        <v>830</v>
      </c>
      <c r="M1704" s="13">
        <v>1264</v>
      </c>
      <c r="N1704" s="13">
        <v>30</v>
      </c>
      <c r="O1704" s="15"/>
      <c r="P1704" s="6">
        <v>40856.989861111113</v>
      </c>
      <c r="Q1704" s="17" t="s">
        <v>2315</v>
      </c>
      <c r="R1704" s="18" t="s">
        <v>6376</v>
      </c>
      <c r="S1704" s="12"/>
      <c r="T1704" s="12"/>
      <c r="U1704" s="10" t="str">
        <f>HYPERLINK("https://pbs.twimg.com/profile_images/2861250008/67566d3574e65499c045e7f36a946e64.jpeg","View")</f>
        <v>View</v>
      </c>
    </row>
    <row r="1705" spans="1:21" ht="40.799999999999997">
      <c r="A1705" s="6">
        <v>43426.826041666667</v>
      </c>
      <c r="B1705" s="7" t="str">
        <f>HYPERLINK("https://twitter.com/25xjose","@25xjose")</f>
        <v>@25xjose</v>
      </c>
      <c r="C1705" s="8" t="s">
        <v>6377</v>
      </c>
      <c r="D1705" s="9" t="s">
        <v>6378</v>
      </c>
      <c r="E1705" s="10" t="str">
        <f>HYPERLINK("https://twitter.com/25xjose/status/1065678678405902337","1065678678405902337")</f>
        <v>1065678678405902337</v>
      </c>
      <c r="F1705" s="12"/>
      <c r="G1705" s="12"/>
      <c r="H1705" s="12"/>
      <c r="I1705" s="13">
        <v>0</v>
      </c>
      <c r="J1705" s="13">
        <v>1</v>
      </c>
      <c r="K1705" s="14" t="str">
        <f t="shared" si="275"/>
        <v>Twitter Web Client</v>
      </c>
      <c r="L1705" s="13">
        <v>2168</v>
      </c>
      <c r="M1705" s="13">
        <v>2232</v>
      </c>
      <c r="N1705" s="13">
        <v>0</v>
      </c>
      <c r="O1705" s="15"/>
      <c r="P1705" s="6">
        <v>43012.757002314815</v>
      </c>
      <c r="Q1705" s="12"/>
      <c r="R1705" s="18" t="s">
        <v>6379</v>
      </c>
      <c r="S1705" s="12"/>
      <c r="T1705" s="12"/>
      <c r="U1705" s="10" t="str">
        <f>HYPERLINK("https://pbs.twimg.com/profile_images/1011681098051604481/1J87A3XT.jpg","View")</f>
        <v>View</v>
      </c>
    </row>
    <row r="1706" spans="1:21" ht="40.799999999999997">
      <c r="A1706" s="6">
        <v>43426.825717592597</v>
      </c>
      <c r="B1706" s="7" t="str">
        <f>HYPERLINK("https://twitter.com/caencomonueces","@caencomonueces")</f>
        <v>@caencomonueces</v>
      </c>
      <c r="C1706" s="8" t="s">
        <v>4902</v>
      </c>
      <c r="D1706" s="9" t="s">
        <v>6380</v>
      </c>
      <c r="E1706" s="10" t="str">
        <f>HYPERLINK("https://twitter.com/caencomonueces/status/1065678557152710656","1065678557152710656")</f>
        <v>1065678557152710656</v>
      </c>
      <c r="F1706" s="11" t="s">
        <v>5550</v>
      </c>
      <c r="G1706" s="12"/>
      <c r="H1706" s="12"/>
      <c r="I1706" s="13">
        <v>0</v>
      </c>
      <c r="J1706" s="13">
        <v>0</v>
      </c>
      <c r="K1706" s="14" t="str">
        <f>HYPERLINK("http://twitter.com/download/android","Twitter for Android")</f>
        <v>Twitter for Android</v>
      </c>
      <c r="L1706" s="13">
        <v>629</v>
      </c>
      <c r="M1706" s="13">
        <v>1153</v>
      </c>
      <c r="N1706" s="13">
        <v>3</v>
      </c>
      <c r="O1706" s="15"/>
      <c r="P1706" s="6">
        <v>41242.801539351851</v>
      </c>
      <c r="Q1706" s="17" t="s">
        <v>436</v>
      </c>
      <c r="R1706" s="18" t="s">
        <v>4903</v>
      </c>
      <c r="S1706" s="12"/>
      <c r="T1706" s="12"/>
      <c r="U1706" s="10" t="str">
        <f>HYPERLINK("https://pbs.twimg.com/profile_images/802542076420378628/S_52YFJA.jpg","View")</f>
        <v>View</v>
      </c>
    </row>
    <row r="1707" spans="1:21" ht="20.399999999999999">
      <c r="A1707" s="6">
        <v>43426.825300925921</v>
      </c>
      <c r="B1707" s="7" t="str">
        <f>HYPERLINK("https://twitter.com/Mari__Casanova","@Mari__Casanova")</f>
        <v>@Mari__Casanova</v>
      </c>
      <c r="C1707" s="8" t="s">
        <v>1324</v>
      </c>
      <c r="D1707" s="9" t="s">
        <v>6381</v>
      </c>
      <c r="E1707" s="10" t="str">
        <f>HYPERLINK("https://twitter.com/Mari__Casanova/status/1065678409966264320","1065678409966264320")</f>
        <v>1065678409966264320</v>
      </c>
      <c r="F1707" s="11" t="s">
        <v>6382</v>
      </c>
      <c r="G1707" s="12"/>
      <c r="H1707" s="12"/>
      <c r="I1707" s="13">
        <v>0</v>
      </c>
      <c r="J1707" s="13">
        <v>0</v>
      </c>
      <c r="K1707" s="14" t="str">
        <f>HYPERLINK("https://ifttt.com","IFTTT")</f>
        <v>IFTTT</v>
      </c>
      <c r="L1707" s="13">
        <v>705</v>
      </c>
      <c r="M1707" s="13">
        <v>163</v>
      </c>
      <c r="N1707" s="13">
        <v>2</v>
      </c>
      <c r="O1707" s="15"/>
      <c r="P1707" s="6">
        <v>42944.109861111108</v>
      </c>
      <c r="Q1707" s="17" t="s">
        <v>1327</v>
      </c>
      <c r="R1707" s="18" t="s">
        <v>1328</v>
      </c>
      <c r="S1707" s="12"/>
      <c r="T1707" s="12"/>
      <c r="U1707" s="10" t="str">
        <f>HYPERLINK("https://pbs.twimg.com/profile_images/986637601372241920/zT1yyMnO.jpg","View")</f>
        <v>View</v>
      </c>
    </row>
    <row r="1708" spans="1:21" ht="40.799999999999997">
      <c r="A1708" s="6">
        <v>43426.825185185182</v>
      </c>
      <c r="B1708" s="7" t="str">
        <f>HYPERLINK("https://twitter.com/capiflores","@capiflores")</f>
        <v>@capiflores</v>
      </c>
      <c r="C1708" s="8" t="s">
        <v>6383</v>
      </c>
      <c r="D1708" s="9" t="s">
        <v>6384</v>
      </c>
      <c r="E1708" s="10" t="str">
        <f>HYPERLINK("https://twitter.com/capiflores/status/1065678366370607106","1065678366370607106")</f>
        <v>1065678366370607106</v>
      </c>
      <c r="F1708" s="12"/>
      <c r="G1708" s="11" t="s">
        <v>6385</v>
      </c>
      <c r="H1708" s="12"/>
      <c r="I1708" s="13">
        <v>5</v>
      </c>
      <c r="J1708" s="13">
        <v>4</v>
      </c>
      <c r="K1708" s="14" t="str">
        <f>HYPERLINK("http://twitter.com","Twitter Web Client")</f>
        <v>Twitter Web Client</v>
      </c>
      <c r="L1708" s="13">
        <v>604</v>
      </c>
      <c r="M1708" s="13">
        <v>574</v>
      </c>
      <c r="N1708" s="13">
        <v>1</v>
      </c>
      <c r="O1708" s="15"/>
      <c r="P1708" s="6">
        <v>40854.749907407408</v>
      </c>
      <c r="Q1708" s="17" t="s">
        <v>28</v>
      </c>
      <c r="R1708" s="18" t="s">
        <v>6386</v>
      </c>
      <c r="S1708" s="12"/>
      <c r="T1708" s="12"/>
      <c r="U1708" s="10" t="str">
        <f>HYPERLINK("https://pbs.twimg.com/profile_images/901745280718163968/56Ve0Z8B.jpg","View")</f>
        <v>View</v>
      </c>
    </row>
    <row r="1709" spans="1:21" ht="40.799999999999997">
      <c r="A1709" s="6">
        <v>43426.825011574074</v>
      </c>
      <c r="B1709" s="7" t="str">
        <f>HYPERLINK("https://twitter.com/caencomonueces","@caencomonueces")</f>
        <v>@caencomonueces</v>
      </c>
      <c r="C1709" s="8" t="s">
        <v>4902</v>
      </c>
      <c r="D1709" s="9" t="s">
        <v>6387</v>
      </c>
      <c r="E1709" s="10" t="str">
        <f>HYPERLINK("https://twitter.com/caencomonueces/status/1065678304710148099","1065678304710148099")</f>
        <v>1065678304710148099</v>
      </c>
      <c r="F1709" s="11" t="s">
        <v>1331</v>
      </c>
      <c r="G1709" s="12"/>
      <c r="H1709" s="12"/>
      <c r="I1709" s="13">
        <v>0</v>
      </c>
      <c r="J1709" s="13">
        <v>0</v>
      </c>
      <c r="K1709" s="14" t="str">
        <f>HYPERLINK("http://twitter.com/download/android","Twitter for Android")</f>
        <v>Twitter for Android</v>
      </c>
      <c r="L1709" s="13">
        <v>629</v>
      </c>
      <c r="M1709" s="13">
        <v>1153</v>
      </c>
      <c r="N1709" s="13">
        <v>3</v>
      </c>
      <c r="O1709" s="15"/>
      <c r="P1709" s="6">
        <v>41242.801539351851</v>
      </c>
      <c r="Q1709" s="17" t="s">
        <v>436</v>
      </c>
      <c r="R1709" s="18" t="s">
        <v>4903</v>
      </c>
      <c r="S1709" s="12"/>
      <c r="T1709" s="12"/>
      <c r="U1709" s="10" t="str">
        <f>HYPERLINK("https://pbs.twimg.com/profile_images/802542076420378628/S_52YFJA.jpg","View")</f>
        <v>View</v>
      </c>
    </row>
    <row r="1710" spans="1:21" ht="20.399999999999999">
      <c r="A1710" s="6">
        <v>43426.822916666672</v>
      </c>
      <c r="B1710" s="7" t="str">
        <f>HYPERLINK("https://twitter.com/VanityFairSpain","@VanityFairSpain")</f>
        <v>@VanityFairSpain</v>
      </c>
      <c r="C1710" s="8" t="s">
        <v>1340</v>
      </c>
      <c r="D1710" s="9" t="s">
        <v>6381</v>
      </c>
      <c r="E1710" s="10" t="str">
        <f>HYPERLINK("https://twitter.com/VanityFairSpain/status/1065677543641104385","1065677543641104385")</f>
        <v>1065677543641104385</v>
      </c>
      <c r="F1710" s="11" t="s">
        <v>6382</v>
      </c>
      <c r="G1710" s="12"/>
      <c r="H1710" s="12"/>
      <c r="I1710" s="13">
        <v>1</v>
      </c>
      <c r="J1710" s="13">
        <v>2</v>
      </c>
      <c r="K1710" s="14" t="str">
        <f>HYPERLINK("https://about.twitter.com/products/tweetdeck","TweetDeck")</f>
        <v>TweetDeck</v>
      </c>
      <c r="L1710" s="13">
        <v>612527</v>
      </c>
      <c r="M1710" s="13">
        <v>502</v>
      </c>
      <c r="N1710" s="13">
        <v>2550</v>
      </c>
      <c r="O1710" s="16" t="s">
        <v>26</v>
      </c>
      <c r="P1710" s="6">
        <v>40170.488807870366</v>
      </c>
      <c r="Q1710" s="17" t="s">
        <v>436</v>
      </c>
      <c r="R1710" s="18" t="s">
        <v>1341</v>
      </c>
      <c r="S1710" s="11" t="s">
        <v>690</v>
      </c>
      <c r="T1710" s="12"/>
      <c r="U1710" s="10" t="str">
        <f>HYPERLINK("https://pbs.twimg.com/profile_images/903206869275217920/-bdg4xz-.jpg","View")</f>
        <v>View</v>
      </c>
    </row>
    <row r="1711" spans="1:21" ht="30.6">
      <c r="A1711" s="6">
        <v>43426.822685185187</v>
      </c>
      <c r="B1711" s="7" t="str">
        <f>HYPERLINK("https://twitter.com/basicM76","@basicM76")</f>
        <v>@basicM76</v>
      </c>
      <c r="C1711" s="8" t="s">
        <v>6388</v>
      </c>
      <c r="D1711" s="9" t="s">
        <v>6389</v>
      </c>
      <c r="E1711" s="10" t="str">
        <f>HYPERLINK("https://twitter.com/basicM76/status/1065677459868274688","1065677459868274688")</f>
        <v>1065677459868274688</v>
      </c>
      <c r="F1711" s="11" t="s">
        <v>6390</v>
      </c>
      <c r="G1711" s="12"/>
      <c r="H1711" s="12"/>
      <c r="I1711" s="13">
        <v>0</v>
      </c>
      <c r="J1711" s="13">
        <v>6</v>
      </c>
      <c r="K1711" s="14" t="str">
        <f>HYPERLINK("http://twitter.com","Twitter Web Client")</f>
        <v>Twitter Web Client</v>
      </c>
      <c r="L1711" s="13">
        <v>5372</v>
      </c>
      <c r="M1711" s="13">
        <v>3113</v>
      </c>
      <c r="N1711" s="13">
        <v>91</v>
      </c>
      <c r="O1711" s="15"/>
      <c r="P1711" s="6">
        <v>40038.681666666671</v>
      </c>
      <c r="Q1711" s="17" t="s">
        <v>6391</v>
      </c>
      <c r="R1711" s="18" t="s">
        <v>6392</v>
      </c>
      <c r="S1711" s="11" t="s">
        <v>6393</v>
      </c>
      <c r="T1711" s="12"/>
      <c r="U1711" s="10" t="str">
        <f>HYPERLINK("https://pbs.twimg.com/profile_images/1052108535335661569/ohh2pO7q.jpg","View")</f>
        <v>View</v>
      </c>
    </row>
    <row r="1712" spans="1:21" ht="13.2">
      <c r="A1712" s="6">
        <v>43426.822291666671</v>
      </c>
      <c r="B1712" s="7" t="str">
        <f>HYPERLINK("https://twitter.com/HEAVENDIED","@HEAVENDIED")</f>
        <v>@HEAVENDIED</v>
      </c>
      <c r="C1712" s="8" t="s">
        <v>6394</v>
      </c>
      <c r="D1712" s="9" t="s">
        <v>6395</v>
      </c>
      <c r="E1712" s="10" t="str">
        <f>HYPERLINK("https://twitter.com/HEAVENDIED/status/1065677316163014657","1065677316163014657")</f>
        <v>1065677316163014657</v>
      </c>
      <c r="F1712" s="12"/>
      <c r="G1712" s="12"/>
      <c r="H1712" s="12"/>
      <c r="I1712" s="13">
        <v>0</v>
      </c>
      <c r="J1712" s="13">
        <v>0</v>
      </c>
      <c r="K1712" s="14" t="str">
        <f>HYPERLINK("http://twitter.com/download/iphone","Twitter for iPhone")</f>
        <v>Twitter for iPhone</v>
      </c>
      <c r="L1712" s="13">
        <v>197</v>
      </c>
      <c r="M1712" s="13">
        <v>355</v>
      </c>
      <c r="N1712" s="13">
        <v>5</v>
      </c>
      <c r="O1712" s="15"/>
      <c r="P1712" s="6">
        <v>43000.662442129629</v>
      </c>
      <c r="Q1712" s="17" t="s">
        <v>6396</v>
      </c>
      <c r="R1712" s="18" t="s">
        <v>6397</v>
      </c>
      <c r="S1712" s="12"/>
      <c r="T1712" s="12"/>
      <c r="U1712" s="10" t="str">
        <f>HYPERLINK("https://pbs.twimg.com/profile_images/911229737074339840/7WrDsYfJ.jpg","View")</f>
        <v>View</v>
      </c>
    </row>
    <row r="1713" spans="1:21" ht="51">
      <c r="A1713" s="6">
        <v>43426.822210648148</v>
      </c>
      <c r="B1713" s="7" t="str">
        <f>HYPERLINK("https://twitter.com/TercioHispanico","@TercioHispanico")</f>
        <v>@TercioHispanico</v>
      </c>
      <c r="C1713" s="8" t="s">
        <v>6398</v>
      </c>
      <c r="D1713" s="9" t="s">
        <v>6399</v>
      </c>
      <c r="E1713" s="10" t="str">
        <f>HYPERLINK("https://twitter.com/TercioHispanico/status/1065677288732266496","1065677288732266496")</f>
        <v>1065677288732266496</v>
      </c>
      <c r="F1713" s="11" t="s">
        <v>753</v>
      </c>
      <c r="G1713" s="12"/>
      <c r="H1713" s="12"/>
      <c r="I1713" s="13">
        <v>0</v>
      </c>
      <c r="J1713" s="13">
        <v>0</v>
      </c>
      <c r="K1713" s="14" t="str">
        <f>HYPERLINK("https://diariorc.com","Tercio Hispánico App C")</f>
        <v>Tercio Hispánico App C</v>
      </c>
      <c r="L1713" s="13">
        <v>1463</v>
      </c>
      <c r="M1713" s="13">
        <v>1448</v>
      </c>
      <c r="N1713" s="13">
        <v>3</v>
      </c>
      <c r="O1713" s="15"/>
      <c r="P1713" s="6">
        <v>43074.817384259259</v>
      </c>
      <c r="Q1713" s="17" t="s">
        <v>28</v>
      </c>
      <c r="R1713" s="18" t="s">
        <v>6400</v>
      </c>
      <c r="S1713" s="12"/>
      <c r="T1713" s="12"/>
      <c r="U1713" s="10" t="str">
        <f>HYPERLINK("https://pbs.twimg.com/profile_images/938810411045941249/GJ1yq9OJ.jpg","View")</f>
        <v>View</v>
      </c>
    </row>
    <row r="1714" spans="1:21" ht="51">
      <c r="A1714" s="6">
        <v>43426.821261574078</v>
      </c>
      <c r="B1714" s="7" t="str">
        <f>HYPERLINK("https://twitter.com/PdeSamos","@PdeSamos")</f>
        <v>@PdeSamos</v>
      </c>
      <c r="C1714" s="8" t="s">
        <v>6401</v>
      </c>
      <c r="D1714" s="9" t="s">
        <v>6399</v>
      </c>
      <c r="E1714" s="10" t="str">
        <f>HYPERLINK("https://twitter.com/PdeSamos/status/1065676944333774849","1065676944333774849")</f>
        <v>1065676944333774849</v>
      </c>
      <c r="F1714" s="11" t="s">
        <v>753</v>
      </c>
      <c r="G1714" s="12"/>
      <c r="H1714" s="12"/>
      <c r="I1714" s="13">
        <v>0</v>
      </c>
      <c r="J1714" s="13">
        <v>1</v>
      </c>
      <c r="K1714" s="14" t="str">
        <f>HYPERLINK("http://republico.ddns.net","App Libertad PdeSamos")</f>
        <v>App Libertad PdeSamos</v>
      </c>
      <c r="L1714" s="13">
        <v>5284</v>
      </c>
      <c r="M1714" s="13">
        <v>5302</v>
      </c>
      <c r="N1714" s="13">
        <v>12</v>
      </c>
      <c r="O1714" s="15"/>
      <c r="P1714" s="6">
        <v>42889.820567129631</v>
      </c>
      <c r="Q1714" s="17" t="s">
        <v>6402</v>
      </c>
      <c r="R1714" s="18" t="s">
        <v>6403</v>
      </c>
      <c r="S1714" s="12"/>
      <c r="T1714" s="12"/>
      <c r="U1714" s="10" t="str">
        <f>HYPERLINK("https://pbs.twimg.com/profile_images/871063742003511296/xK2IYbrO.jpg","View")</f>
        <v>View</v>
      </c>
    </row>
    <row r="1715" spans="1:21" ht="30.6">
      <c r="A1715" s="6">
        <v>43426.821215277778</v>
      </c>
      <c r="B1715" s="7" t="str">
        <f>HYPERLINK("https://twitter.com/AdLLIN61","@AdLLIN61")</f>
        <v>@AdLLIN61</v>
      </c>
      <c r="C1715" s="8" t="s">
        <v>1980</v>
      </c>
      <c r="D1715" s="9" t="s">
        <v>6404</v>
      </c>
      <c r="E1715" s="10" t="str">
        <f>HYPERLINK("https://twitter.com/AdLLIN61/status/1065676928533872642","1065676928533872642")</f>
        <v>1065676928533872642</v>
      </c>
      <c r="F1715" s="11" t="s">
        <v>6405</v>
      </c>
      <c r="G1715" s="12"/>
      <c r="H1715" s="12"/>
      <c r="I1715" s="13">
        <v>0</v>
      </c>
      <c r="J1715" s="13">
        <v>0</v>
      </c>
      <c r="K1715" s="14" t="str">
        <f>HYPERLINK("http://www.facebook.com/twitter","Facebook")</f>
        <v>Facebook</v>
      </c>
      <c r="L1715" s="13">
        <v>542</v>
      </c>
      <c r="M1715" s="13">
        <v>1483</v>
      </c>
      <c r="N1715" s="13">
        <v>23</v>
      </c>
      <c r="O1715" s="15"/>
      <c r="P1715" s="6">
        <v>40213.955497685187</v>
      </c>
      <c r="Q1715" s="17" t="s">
        <v>1982</v>
      </c>
      <c r="R1715" s="18" t="s">
        <v>1983</v>
      </c>
      <c r="S1715" s="11" t="s">
        <v>1984</v>
      </c>
      <c r="T1715" s="12"/>
      <c r="U1715" s="10" t="str">
        <f>HYPERLINK("https://pbs.twimg.com/profile_images/1061736532871204866/pyBV2wj8.jpg","View")</f>
        <v>View</v>
      </c>
    </row>
    <row r="1716" spans="1:21" ht="40.799999999999997">
      <c r="A1716" s="6">
        <v>43426.820960648147</v>
      </c>
      <c r="B1716" s="7" t="str">
        <f>HYPERLINK("https://twitter.com/fralbaro","@fralbaro")</f>
        <v>@fralbaro</v>
      </c>
      <c r="C1716" s="8" t="s">
        <v>6406</v>
      </c>
      <c r="D1716" s="9" t="s">
        <v>6407</v>
      </c>
      <c r="E1716" s="10" t="str">
        <f>HYPERLINK("https://twitter.com/fralbaro/status/1065676834040410114","1065676834040410114")</f>
        <v>1065676834040410114</v>
      </c>
      <c r="F1716" s="11" t="s">
        <v>2231</v>
      </c>
      <c r="G1716" s="12"/>
      <c r="H1716" s="12"/>
      <c r="I1716" s="13">
        <v>5</v>
      </c>
      <c r="J1716" s="13">
        <v>4</v>
      </c>
      <c r="K1716" s="14" t="str">
        <f>HYPERLINK("http://twitter.com/download/android","Twitter for Android")</f>
        <v>Twitter for Android</v>
      </c>
      <c r="L1716" s="13">
        <v>741</v>
      </c>
      <c r="M1716" s="13">
        <v>299</v>
      </c>
      <c r="N1716" s="13">
        <v>17</v>
      </c>
      <c r="O1716" s="15"/>
      <c r="P1716" s="6">
        <v>41322.636493055557</v>
      </c>
      <c r="Q1716" s="17" t="s">
        <v>6408</v>
      </c>
      <c r="R1716" s="18" t="s">
        <v>6409</v>
      </c>
      <c r="S1716" s="12"/>
      <c r="T1716" s="12"/>
      <c r="U1716" s="10" t="str">
        <f>HYPERLINK("https://pbs.twimg.com/profile_images/1025837365129031682/7qisDHsn.jpg","View")</f>
        <v>View</v>
      </c>
    </row>
    <row r="1717" spans="1:21" ht="20.399999999999999">
      <c r="A1717" s="6">
        <v>43426.820567129631</v>
      </c>
      <c r="B1717" s="7" t="str">
        <f>HYPERLINK("https://twitter.com/lolapastur","@lolapastur")</f>
        <v>@lolapastur</v>
      </c>
      <c r="C1717" s="8" t="s">
        <v>1329</v>
      </c>
      <c r="D1717" s="9" t="s">
        <v>6410</v>
      </c>
      <c r="E1717" s="10" t="str">
        <f>HYPERLINK("https://twitter.com/lolapastur/status/1065676691689881600","1065676691689881600")</f>
        <v>1065676691689881600</v>
      </c>
      <c r="F1717" s="11" t="s">
        <v>6411</v>
      </c>
      <c r="G1717" s="12"/>
      <c r="H1717" s="12"/>
      <c r="I1717" s="13">
        <v>3</v>
      </c>
      <c r="J1717" s="13">
        <v>1</v>
      </c>
      <c r="K1717" s="14" t="str">
        <f>HYPERLINK("http://twitter.com/download/iphone","Twitter for iPhone")</f>
        <v>Twitter for iPhone</v>
      </c>
      <c r="L1717" s="13">
        <v>3768</v>
      </c>
      <c r="M1717" s="13">
        <v>2836</v>
      </c>
      <c r="N1717" s="13">
        <v>32</v>
      </c>
      <c r="O1717" s="15"/>
      <c r="P1717" s="6">
        <v>40913.599293981482</v>
      </c>
      <c r="Q1717" s="12"/>
      <c r="R1717" s="18" t="s">
        <v>1332</v>
      </c>
      <c r="S1717" s="12"/>
      <c r="T1717" s="12"/>
      <c r="U1717" s="10" t="str">
        <f>HYPERLINK("https://pbs.twimg.com/profile_images/934821295736451073/tnymHvNj.jpg","View")</f>
        <v>View</v>
      </c>
    </row>
    <row r="1718" spans="1:21" ht="51">
      <c r="A1718" s="6">
        <v>43426.820497685185</v>
      </c>
      <c r="B1718" s="7" t="str">
        <f>HYPERLINK("https://twitter.com/PBMarbeMalaga","@PBMarbeMalaga")</f>
        <v>@PBMarbeMalaga</v>
      </c>
      <c r="C1718" s="8" t="s">
        <v>6412</v>
      </c>
      <c r="D1718" s="9" t="s">
        <v>6399</v>
      </c>
      <c r="E1718" s="10" t="str">
        <f>HYPERLINK("https://twitter.com/PBMarbeMalaga/status/1065676667291611137","1065676667291611137")</f>
        <v>1065676667291611137</v>
      </c>
      <c r="F1718" s="11" t="s">
        <v>753</v>
      </c>
      <c r="G1718" s="12"/>
      <c r="H1718" s="12"/>
      <c r="I1718" s="13">
        <v>0</v>
      </c>
      <c r="J1718" s="13">
        <v>0</v>
      </c>
      <c r="K1718" s="14" t="str">
        <f>HYPERLINK("https://javitang.ddns.net","PBMarbeMalaga")</f>
        <v>PBMarbeMalaga</v>
      </c>
      <c r="L1718" s="13">
        <v>1222</v>
      </c>
      <c r="M1718" s="13">
        <v>1245</v>
      </c>
      <c r="N1718" s="13">
        <v>2</v>
      </c>
      <c r="O1718" s="15"/>
      <c r="P1718" s="6">
        <v>43149.814074074078</v>
      </c>
      <c r="Q1718" s="17" t="s">
        <v>6413</v>
      </c>
      <c r="R1718" s="18" t="s">
        <v>6414</v>
      </c>
      <c r="S1718" s="12"/>
      <c r="T1718" s="12"/>
      <c r="U1718" s="10" t="str">
        <f>HYPERLINK("https://pbs.twimg.com/profile_images/965296691145531392/sAFnfUu2.jpg","View")</f>
        <v>View</v>
      </c>
    </row>
    <row r="1719" spans="1:21" ht="51">
      <c r="A1719" s="6">
        <v>43426.820266203707</v>
      </c>
      <c r="B1719" s="7" t="str">
        <f>HYPERLINK("https://twitter.com/AdeSiracusa","@AdeSiracusa")</f>
        <v>@AdeSiracusa</v>
      </c>
      <c r="C1719" s="8" t="s">
        <v>6415</v>
      </c>
      <c r="D1719" s="9" t="s">
        <v>6399</v>
      </c>
      <c r="E1719" s="10" t="str">
        <f>HYPERLINK("https://twitter.com/AdeSiracusa/status/1065676585523732481","1065676585523732481")</f>
        <v>1065676585523732481</v>
      </c>
      <c r="F1719" s="11" t="s">
        <v>753</v>
      </c>
      <c r="G1719" s="12"/>
      <c r="H1719" s="12"/>
      <c r="I1719" s="13">
        <v>0</v>
      </c>
      <c r="J1719" s="13">
        <v>0</v>
      </c>
      <c r="K1719" s="14" t="str">
        <f>HYPERLINK("http://www.republicosvenezuela.com/","AdeSiracusa")</f>
        <v>AdeSiracusa</v>
      </c>
      <c r="L1719" s="13">
        <v>3920</v>
      </c>
      <c r="M1719" s="13">
        <v>3927</v>
      </c>
      <c r="N1719" s="13">
        <v>12</v>
      </c>
      <c r="O1719" s="15"/>
      <c r="P1719" s="6">
        <v>42958.576388888891</v>
      </c>
      <c r="Q1719" s="17" t="s">
        <v>5640</v>
      </c>
      <c r="R1719" s="18" t="s">
        <v>6416</v>
      </c>
      <c r="S1719" s="12"/>
      <c r="T1719" s="12"/>
      <c r="U1719" s="10" t="str">
        <f>HYPERLINK("https://pbs.twimg.com/profile_images/895978354591105024/x2wNXrPl.jpg","View")</f>
        <v>View</v>
      </c>
    </row>
    <row r="1720" spans="1:21" ht="40.799999999999997">
      <c r="A1720" s="6">
        <v>43426.819756944446</v>
      </c>
      <c r="B1720" s="7" t="str">
        <f>HYPERLINK("https://twitter.com/Suave70511209","@Suave70511209")</f>
        <v>@Suave70511209</v>
      </c>
      <c r="C1720" s="8" t="s">
        <v>5096</v>
      </c>
      <c r="D1720" s="9" t="s">
        <v>6417</v>
      </c>
      <c r="E1720" s="10" t="str">
        <f>HYPERLINK("https://twitter.com/Suave70511209/status/1065676401053966336","1065676401053966336")</f>
        <v>1065676401053966336</v>
      </c>
      <c r="F1720" s="11" t="s">
        <v>6418</v>
      </c>
      <c r="G1720" s="11" t="s">
        <v>6419</v>
      </c>
      <c r="H1720" s="12"/>
      <c r="I1720" s="13">
        <v>0</v>
      </c>
      <c r="J1720" s="13">
        <v>0</v>
      </c>
      <c r="K1720" s="14" t="str">
        <f>HYPERLINK("http://twitter.com/download/iphone","Twitter for iPhone")</f>
        <v>Twitter for iPhone</v>
      </c>
      <c r="L1720" s="13">
        <v>213</v>
      </c>
      <c r="M1720" s="13">
        <v>664</v>
      </c>
      <c r="N1720" s="13">
        <v>0</v>
      </c>
      <c r="O1720" s="15"/>
      <c r="P1720" s="6">
        <v>43273.738611111112</v>
      </c>
      <c r="Q1720" s="12"/>
      <c r="R1720" s="18" t="s">
        <v>5099</v>
      </c>
      <c r="S1720" s="12"/>
      <c r="T1720" s="12"/>
      <c r="U1720" s="10" t="str">
        <f>HYPERLINK("https://pbs.twimg.com/profile_images/1010222086424547328/YhPI8KQm.jpg","View")</f>
        <v>View</v>
      </c>
    </row>
    <row r="1721" spans="1:21" ht="51">
      <c r="A1721" s="6">
        <v>43426.818333333329</v>
      </c>
      <c r="B1721" s="7" t="str">
        <f>HYPERLINK("https://twitter.com/JoseLui43872588","@JoseLui43872588")</f>
        <v>@JoseLui43872588</v>
      </c>
      <c r="C1721" s="8" t="s">
        <v>1947</v>
      </c>
      <c r="D1721" s="9" t="s">
        <v>6420</v>
      </c>
      <c r="E1721" s="10" t="str">
        <f>HYPERLINK("https://twitter.com/JoseLui43872588/status/1065675883158085632","1065675883158085632")</f>
        <v>1065675883158085632</v>
      </c>
      <c r="F1721" s="12"/>
      <c r="G1721" s="12"/>
      <c r="H1721" s="12"/>
      <c r="I1721" s="13">
        <v>0</v>
      </c>
      <c r="J1721" s="13">
        <v>0</v>
      </c>
      <c r="K1721" s="14" t="str">
        <f>HYPERLINK("http://twitter.com/download/android","Twitter for Android")</f>
        <v>Twitter for Android</v>
      </c>
      <c r="L1721" s="13">
        <v>512</v>
      </c>
      <c r="M1721" s="13">
        <v>128</v>
      </c>
      <c r="N1721" s="13">
        <v>7</v>
      </c>
      <c r="O1721" s="15"/>
      <c r="P1721" s="6">
        <v>42705.999224537038</v>
      </c>
      <c r="Q1721" s="17" t="s">
        <v>810</v>
      </c>
      <c r="R1721" s="18" t="s">
        <v>1949</v>
      </c>
      <c r="S1721" s="12"/>
      <c r="T1721" s="12"/>
      <c r="U1721" s="10" t="str">
        <f>HYPERLINK("https://pbs.twimg.com/profile_images/1009872713064820737/I4zrX8RR.jpg","View")</f>
        <v>View</v>
      </c>
    </row>
    <row r="1722" spans="1:21" ht="40.799999999999997">
      <c r="A1722" s="6">
        <v>43426.818113425921</v>
      </c>
      <c r="B1722" s="7" t="str">
        <f>HYPERLINK("https://twitter.com/ElAguilucho2020","@ElAguilucho2020")</f>
        <v>@ElAguilucho2020</v>
      </c>
      <c r="C1722" s="8" t="s">
        <v>6421</v>
      </c>
      <c r="D1722" s="9" t="s">
        <v>6422</v>
      </c>
      <c r="E1722" s="10" t="str">
        <f>HYPERLINK("https://twitter.com/ElAguilucho2020/status/1065675803726352384","1065675803726352384")</f>
        <v>1065675803726352384</v>
      </c>
      <c r="F1722" s="12"/>
      <c r="G1722" s="12"/>
      <c r="H1722" s="12"/>
      <c r="I1722" s="13">
        <v>0</v>
      </c>
      <c r="J1722" s="13">
        <v>2</v>
      </c>
      <c r="K1722" s="14" t="str">
        <f>HYPERLINK("http://twitter.com/download/iphone","Twitter for iPhone")</f>
        <v>Twitter for iPhone</v>
      </c>
      <c r="L1722" s="13">
        <v>29</v>
      </c>
      <c r="M1722" s="13">
        <v>315</v>
      </c>
      <c r="N1722" s="13">
        <v>0</v>
      </c>
      <c r="O1722" s="15"/>
      <c r="P1722" s="6">
        <v>43135.820868055554</v>
      </c>
      <c r="Q1722" s="17" t="s">
        <v>459</v>
      </c>
      <c r="R1722" s="18" t="s">
        <v>6423</v>
      </c>
      <c r="S1722" s="12"/>
      <c r="T1722" s="12"/>
      <c r="U1722" s="10" t="str">
        <f>HYPERLINK("https://pbs.twimg.com/profile_images/970855850247147526/JRKwtlMR.jpg","View")</f>
        <v>View</v>
      </c>
    </row>
    <row r="1723" spans="1:21" ht="40.799999999999997">
      <c r="A1723" s="6">
        <v>43426.81753472222</v>
      </c>
      <c r="B1723" s="7" t="str">
        <f>HYPERLINK("https://twitter.com/JoseLui43872588","@JoseLui43872588")</f>
        <v>@JoseLui43872588</v>
      </c>
      <c r="C1723" s="8" t="s">
        <v>1947</v>
      </c>
      <c r="D1723" s="9" t="s">
        <v>6424</v>
      </c>
      <c r="E1723" s="10" t="str">
        <f>HYPERLINK("https://twitter.com/JoseLui43872588/status/1065675592715120645","1065675592715120645")</f>
        <v>1065675592715120645</v>
      </c>
      <c r="F1723" s="12"/>
      <c r="G1723" s="12"/>
      <c r="H1723" s="12"/>
      <c r="I1723" s="13">
        <v>0</v>
      </c>
      <c r="J1723" s="13">
        <v>0</v>
      </c>
      <c r="K1723" s="14" t="str">
        <f>HYPERLINK("http://twitter.com/download/android","Twitter for Android")</f>
        <v>Twitter for Android</v>
      </c>
      <c r="L1723" s="13">
        <v>512</v>
      </c>
      <c r="M1723" s="13">
        <v>128</v>
      </c>
      <c r="N1723" s="13">
        <v>7</v>
      </c>
      <c r="O1723" s="15"/>
      <c r="P1723" s="6">
        <v>42705.999224537038</v>
      </c>
      <c r="Q1723" s="17" t="s">
        <v>810</v>
      </c>
      <c r="R1723" s="18" t="s">
        <v>1949</v>
      </c>
      <c r="S1723" s="12"/>
      <c r="T1723" s="12"/>
      <c r="U1723" s="10" t="str">
        <f>HYPERLINK("https://pbs.twimg.com/profile_images/1009872713064820737/I4zrX8RR.jpg","View")</f>
        <v>View</v>
      </c>
    </row>
    <row r="1724" spans="1:21" ht="51">
      <c r="A1724" s="6">
        <v>43426.817523148144</v>
      </c>
      <c r="B1724" s="7" t="str">
        <f>HYPERLINK("https://twitter.com/furretillo","@furretillo")</f>
        <v>@furretillo</v>
      </c>
      <c r="C1724" s="8" t="s">
        <v>6425</v>
      </c>
      <c r="D1724" s="9" t="s">
        <v>6426</v>
      </c>
      <c r="E1724" s="10" t="str">
        <f>HYPERLINK("https://twitter.com/furretillo/status/1065675590441799681","1065675590441799681")</f>
        <v>1065675590441799681</v>
      </c>
      <c r="F1724" s="12"/>
      <c r="G1724" s="12"/>
      <c r="H1724" s="12"/>
      <c r="I1724" s="13">
        <v>0</v>
      </c>
      <c r="J1724" s="13">
        <v>1</v>
      </c>
      <c r="K1724" s="14" t="str">
        <f t="shared" ref="K1724:K1725" si="276">HYPERLINK("http://twitter.com","Twitter Web Client")</f>
        <v>Twitter Web Client</v>
      </c>
      <c r="L1724" s="13">
        <v>4788</v>
      </c>
      <c r="M1724" s="13">
        <v>3988</v>
      </c>
      <c r="N1724" s="13">
        <v>21</v>
      </c>
      <c r="O1724" s="15"/>
      <c r="P1724" s="6">
        <v>41412.937569444446</v>
      </c>
      <c r="Q1724" s="12"/>
      <c r="R1724" s="18" t="s">
        <v>6427</v>
      </c>
      <c r="S1724" s="12"/>
      <c r="T1724" s="12"/>
      <c r="U1724" s="10" t="str">
        <f>HYPERLINK("https://pbs.twimg.com/profile_images/3678005210/e8150c2c2b1c85957c34007aba1973d9.jpeg","View")</f>
        <v>View</v>
      </c>
    </row>
    <row r="1725" spans="1:21" ht="30.6">
      <c r="A1725" s="6">
        <v>43426.816805555558</v>
      </c>
      <c r="B1725" s="7" t="str">
        <f>HYPERLINK("https://twitter.com/AlfredReyesBCN","@AlfredReyesBCN")</f>
        <v>@AlfredReyesBCN</v>
      </c>
      <c r="C1725" s="8" t="s">
        <v>6428</v>
      </c>
      <c r="D1725" s="9" t="s">
        <v>640</v>
      </c>
      <c r="E1725" s="10" t="str">
        <f>HYPERLINK("https://twitter.com/AlfredReyesBCN/status/1065675327777714176","1065675327777714176")</f>
        <v>1065675327777714176</v>
      </c>
      <c r="F1725" s="11" t="s">
        <v>641</v>
      </c>
      <c r="G1725" s="12"/>
      <c r="H1725" s="12"/>
      <c r="I1725" s="13">
        <v>0</v>
      </c>
      <c r="J1725" s="13">
        <v>0</v>
      </c>
      <c r="K1725" s="14" t="str">
        <f t="shared" si="276"/>
        <v>Twitter Web Client</v>
      </c>
      <c r="L1725" s="13">
        <v>1747</v>
      </c>
      <c r="M1725" s="13">
        <v>3820</v>
      </c>
      <c r="N1725" s="13">
        <v>15</v>
      </c>
      <c r="O1725" s="15"/>
      <c r="P1725" s="6">
        <v>40822.761643518519</v>
      </c>
      <c r="Q1725" s="17" t="s">
        <v>191</v>
      </c>
      <c r="R1725" s="18" t="s">
        <v>6429</v>
      </c>
      <c r="S1725" s="12"/>
      <c r="T1725" s="12"/>
      <c r="U1725" s="10" t="str">
        <f>HYPERLINK("https://pbs.twimg.com/profile_images/1040252667036160001/UDuhjVIJ.jpg","View")</f>
        <v>View</v>
      </c>
    </row>
    <row r="1726" spans="1:21" ht="40.799999999999997">
      <c r="A1726" s="6">
        <v>43426.816307870366</v>
      </c>
      <c r="B1726" s="7" t="str">
        <f>HYPERLINK("https://twitter.com/Vermutin2","@Vermutin2")</f>
        <v>@Vermutin2</v>
      </c>
      <c r="C1726" s="8" t="s">
        <v>2350</v>
      </c>
      <c r="D1726" s="9" t="s">
        <v>6430</v>
      </c>
      <c r="E1726" s="10" t="str">
        <f>HYPERLINK("https://twitter.com/Vermutin2/status/1065675150794940422","1065675150794940422")</f>
        <v>1065675150794940422</v>
      </c>
      <c r="F1726" s="11" t="s">
        <v>5550</v>
      </c>
      <c r="G1726" s="12"/>
      <c r="H1726" s="12"/>
      <c r="I1726" s="13">
        <v>0</v>
      </c>
      <c r="J1726" s="13">
        <v>2</v>
      </c>
      <c r="K1726" s="14" t="str">
        <f>HYPERLINK("http://twitter.com/download/iphone","Twitter for iPhone")</f>
        <v>Twitter for iPhone</v>
      </c>
      <c r="L1726" s="13">
        <v>1690</v>
      </c>
      <c r="M1726" s="13">
        <v>846</v>
      </c>
      <c r="N1726" s="13">
        <v>28</v>
      </c>
      <c r="O1726" s="15"/>
      <c r="P1726" s="6">
        <v>42658.727523148147</v>
      </c>
      <c r="Q1726" s="17" t="s">
        <v>2354</v>
      </c>
      <c r="R1726" s="18" t="s">
        <v>2355</v>
      </c>
      <c r="S1726" s="11" t="s">
        <v>2356</v>
      </c>
      <c r="T1726" s="12"/>
      <c r="U1726" s="10" t="str">
        <f>HYPERLINK("https://pbs.twimg.com/profile_images/1063935252048027648/Ey43Eahp.jpg","View")</f>
        <v>View</v>
      </c>
    </row>
    <row r="1727" spans="1:21" ht="20.399999999999999">
      <c r="A1727" s="6">
        <v>43426.816296296296</v>
      </c>
      <c r="B1727" s="7" t="str">
        <f>HYPERLINK("https://twitter.com/ibexcant","@ibexcant")</f>
        <v>@ibexcant</v>
      </c>
      <c r="C1727" s="8" t="s">
        <v>6431</v>
      </c>
      <c r="D1727" s="9" t="s">
        <v>6432</v>
      </c>
      <c r="E1727" s="10" t="str">
        <f>HYPERLINK("https://twitter.com/ibexcant/status/1065675144243367937","1065675144243367937")</f>
        <v>1065675144243367937</v>
      </c>
      <c r="F1727" s="11" t="s">
        <v>6433</v>
      </c>
      <c r="G1727" s="12"/>
      <c r="H1727" s="12"/>
      <c r="I1727" s="13">
        <v>0</v>
      </c>
      <c r="J1727" s="13">
        <v>0</v>
      </c>
      <c r="K1727" s="14" t="str">
        <f t="shared" ref="K1727:K1728" si="277">HYPERLINK("http://twitter.com","Twitter Web Client")</f>
        <v>Twitter Web Client</v>
      </c>
      <c r="L1727" s="13">
        <v>105</v>
      </c>
      <c r="M1727" s="13">
        <v>470</v>
      </c>
      <c r="N1727" s="13">
        <v>8</v>
      </c>
      <c r="O1727" s="15"/>
      <c r="P1727" s="6">
        <v>41596.52961805556</v>
      </c>
      <c r="Q1727" s="17" t="s">
        <v>6434</v>
      </c>
      <c r="R1727" s="18" t="s">
        <v>6435</v>
      </c>
      <c r="S1727" s="12"/>
      <c r="T1727" s="12"/>
      <c r="U1727" s="16" t="s">
        <v>373</v>
      </c>
    </row>
    <row r="1728" spans="1:21" ht="40.799999999999997">
      <c r="A1728" s="6">
        <v>43426.816157407404</v>
      </c>
      <c r="B1728" s="7" t="str">
        <f>HYPERLINK("https://twitter.com/PrensaGtmo","@PrensaGtmo")</f>
        <v>@PrensaGtmo</v>
      </c>
      <c r="C1728" s="8" t="s">
        <v>5888</v>
      </c>
      <c r="D1728" s="9" t="s">
        <v>6436</v>
      </c>
      <c r="E1728" s="10" t="str">
        <f>HYPERLINK("https://twitter.com/PrensaGtmo/status/1065675095295832064","1065675095295832064")</f>
        <v>1065675095295832064</v>
      </c>
      <c r="F1728" s="11" t="s">
        <v>6437</v>
      </c>
      <c r="G1728" s="11" t="s">
        <v>6438</v>
      </c>
      <c r="H1728" s="12"/>
      <c r="I1728" s="13">
        <v>0</v>
      </c>
      <c r="J1728" s="13">
        <v>0</v>
      </c>
      <c r="K1728" s="14" t="str">
        <f t="shared" si="277"/>
        <v>Twitter Web Client</v>
      </c>
      <c r="L1728" s="13">
        <v>2414</v>
      </c>
      <c r="M1728" s="13">
        <v>404</v>
      </c>
      <c r="N1728" s="13">
        <v>52</v>
      </c>
      <c r="O1728" s="15"/>
      <c r="P1728" s="6">
        <v>40129.709976851853</v>
      </c>
      <c r="Q1728" s="17" t="s">
        <v>5517</v>
      </c>
      <c r="R1728" s="18" t="s">
        <v>5891</v>
      </c>
      <c r="S1728" s="11" t="s">
        <v>5892</v>
      </c>
      <c r="T1728" s="12"/>
      <c r="U1728" s="10" t="str">
        <f>HYPERLINK("https://pbs.twimg.com/profile_images/1001598348208455681/ex0QN-aD.jpg","View")</f>
        <v>View</v>
      </c>
    </row>
    <row r="1729" spans="1:21" ht="40.799999999999997">
      <c r="A1729" s="6">
        <v>43426.816018518519</v>
      </c>
      <c r="B1729" s="7" t="str">
        <f>HYPERLINK("https://twitter.com/lucas_juanma","@lucas_juanma")</f>
        <v>@lucas_juanma</v>
      </c>
      <c r="C1729" s="8" t="s">
        <v>6310</v>
      </c>
      <c r="D1729" s="9" t="s">
        <v>6312</v>
      </c>
      <c r="E1729" s="10" t="str">
        <f>HYPERLINK("https://twitter.com/lucas_juanma/status/1065675044947484672","1065675044947484672")</f>
        <v>1065675044947484672</v>
      </c>
      <c r="F1729" s="11" t="s">
        <v>2089</v>
      </c>
      <c r="G1729" s="12"/>
      <c r="H1729" s="12"/>
      <c r="I1729" s="13">
        <v>3</v>
      </c>
      <c r="J1729" s="13">
        <v>6</v>
      </c>
      <c r="K1729" s="14" t="str">
        <f>HYPERLINK("http://twitter.com/download/android","Twitter for Android")</f>
        <v>Twitter for Android</v>
      </c>
      <c r="L1729" s="13">
        <v>273</v>
      </c>
      <c r="M1729" s="13">
        <v>54</v>
      </c>
      <c r="N1729" s="13">
        <v>5</v>
      </c>
      <c r="O1729" s="15"/>
      <c r="P1729" s="6">
        <v>43016.933981481481</v>
      </c>
      <c r="Q1729" s="17" t="s">
        <v>6314</v>
      </c>
      <c r="R1729" s="18" t="s">
        <v>6315</v>
      </c>
      <c r="S1729" s="12"/>
      <c r="T1729" s="12"/>
      <c r="U1729" s="10" t="str">
        <f>HYPERLINK("https://pbs.twimg.com/profile_images/1034764310025842688/JnTrsCqp.jpg","View")</f>
        <v>View</v>
      </c>
    </row>
    <row r="1730" spans="1:21" ht="51">
      <c r="A1730" s="6">
        <v>43426.815972222219</v>
      </c>
      <c r="B1730" s="7" t="str">
        <f>HYPERLINK("https://twitter.com/ainhoa_mhoyos","@ainhoa_mhoyos")</f>
        <v>@ainhoa_mhoyos</v>
      </c>
      <c r="C1730" s="8" t="s">
        <v>871</v>
      </c>
      <c r="D1730" s="9" t="s">
        <v>6439</v>
      </c>
      <c r="E1730" s="10" t="str">
        <f>HYPERLINK("https://twitter.com/ainhoa_mhoyos/status/1065675029365559296","1065675029365559296")</f>
        <v>1065675029365559296</v>
      </c>
      <c r="F1730" s="12"/>
      <c r="G1730" s="11" t="s">
        <v>6440</v>
      </c>
      <c r="H1730" s="12"/>
      <c r="I1730" s="13">
        <v>2</v>
      </c>
      <c r="J1730" s="13">
        <v>8</v>
      </c>
      <c r="K1730" s="14" t="str">
        <f t="shared" ref="K1730:K1731" si="278">HYPERLINK("http://twitter.com/download/iphone","Twitter for iPhone")</f>
        <v>Twitter for iPhone</v>
      </c>
      <c r="L1730" s="13">
        <v>689</v>
      </c>
      <c r="M1730" s="13">
        <v>777</v>
      </c>
      <c r="N1730" s="13">
        <v>17</v>
      </c>
      <c r="O1730" s="15"/>
      <c r="P1730" s="6">
        <v>40689.856469907405</v>
      </c>
      <c r="Q1730" s="12"/>
      <c r="R1730" s="18" t="s">
        <v>874</v>
      </c>
      <c r="S1730" s="11" t="s">
        <v>875</v>
      </c>
      <c r="T1730" s="12"/>
      <c r="U1730" s="10" t="str">
        <f>HYPERLINK("https://pbs.twimg.com/profile_images/788468170524950528/aetGUEYr.jpg","View")</f>
        <v>View</v>
      </c>
    </row>
    <row r="1731" spans="1:21" ht="13.2">
      <c r="A1731" s="6">
        <v>43426.81549768518</v>
      </c>
      <c r="B1731" s="7" t="str">
        <f>HYPERLINK("https://twitter.com/luisabeledo","@luisabeledo")</f>
        <v>@luisabeledo</v>
      </c>
      <c r="C1731" s="8" t="s">
        <v>5103</v>
      </c>
      <c r="D1731" s="9" t="s">
        <v>6441</v>
      </c>
      <c r="E1731" s="10" t="str">
        <f>HYPERLINK("https://twitter.com/luisabeledo/status/1065674856421826560","1065674856421826560")</f>
        <v>1065674856421826560</v>
      </c>
      <c r="F1731" s="12"/>
      <c r="G1731" s="11" t="s">
        <v>6442</v>
      </c>
      <c r="H1731" s="12"/>
      <c r="I1731" s="13">
        <v>0</v>
      </c>
      <c r="J1731" s="13">
        <v>1</v>
      </c>
      <c r="K1731" s="14" t="str">
        <f t="shared" si="278"/>
        <v>Twitter for iPhone</v>
      </c>
      <c r="L1731" s="13">
        <v>5484</v>
      </c>
      <c r="M1731" s="13">
        <v>1302</v>
      </c>
      <c r="N1731" s="13">
        <v>162</v>
      </c>
      <c r="O1731" s="15"/>
      <c r="P1731" s="6">
        <v>40328.062893518516</v>
      </c>
      <c r="Q1731" s="17" t="s">
        <v>5105</v>
      </c>
      <c r="R1731" s="19"/>
      <c r="S1731" s="11" t="s">
        <v>5106</v>
      </c>
      <c r="T1731" s="12"/>
      <c r="U1731" s="10" t="str">
        <f>HYPERLINK("https://pbs.twimg.com/profile_images/1060324917181382656/VAJSU7eO.jpg","View")</f>
        <v>View</v>
      </c>
    </row>
    <row r="1732" spans="1:21" ht="20.399999999999999">
      <c r="A1732" s="6">
        <v>43426.814606481479</v>
      </c>
      <c r="B1732" s="7" t="str">
        <f>HYPERLINK("https://twitter.com/beatrizfriasv","@beatrizfriasv")</f>
        <v>@beatrizfriasv</v>
      </c>
      <c r="C1732" s="8" t="s">
        <v>6443</v>
      </c>
      <c r="D1732" s="9" t="s">
        <v>6444</v>
      </c>
      <c r="E1732" s="10" t="str">
        <f>HYPERLINK("https://twitter.com/beatrizfriasv/status/1065674534576115715","1065674534576115715")</f>
        <v>1065674534576115715</v>
      </c>
      <c r="F1732" s="11" t="s">
        <v>6445</v>
      </c>
      <c r="G1732" s="12"/>
      <c r="H1732" s="12"/>
      <c r="I1732" s="13">
        <v>0</v>
      </c>
      <c r="J1732" s="13">
        <v>0</v>
      </c>
      <c r="K1732" s="14" t="str">
        <f>HYPERLINK("http://twitter.com/#!/download/ipad","Twitter for iPad")</f>
        <v>Twitter for iPad</v>
      </c>
      <c r="L1732" s="13">
        <v>384</v>
      </c>
      <c r="M1732" s="13">
        <v>569</v>
      </c>
      <c r="N1732" s="13">
        <v>15</v>
      </c>
      <c r="O1732" s="15"/>
      <c r="P1732" s="6">
        <v>40902.978437500002</v>
      </c>
      <c r="Q1732" s="17" t="s">
        <v>6446</v>
      </c>
      <c r="R1732" s="19"/>
      <c r="S1732" s="12"/>
      <c r="T1732" s="12"/>
      <c r="U1732" s="10" t="str">
        <f>HYPERLINK("https://pbs.twimg.com/profile_images/673276735497052160/PxTOqZS1.jpg","View")</f>
        <v>View</v>
      </c>
    </row>
    <row r="1733" spans="1:21" ht="20.399999999999999">
      <c r="A1733" s="6">
        <v>43426.814560185187</v>
      </c>
      <c r="B1733" s="7" t="str">
        <f>HYPERLINK("https://twitter.com/JaviBernardoP","@JaviBernardoP")</f>
        <v>@JaviBernardoP</v>
      </c>
      <c r="C1733" s="8" t="s">
        <v>6447</v>
      </c>
      <c r="D1733" s="9" t="s">
        <v>6448</v>
      </c>
      <c r="E1733" s="10" t="str">
        <f>HYPERLINK("https://twitter.com/JaviBernardoP/status/1065674515945013248","1065674515945013248")</f>
        <v>1065674515945013248</v>
      </c>
      <c r="F1733" s="12"/>
      <c r="G1733" s="11" t="s">
        <v>6449</v>
      </c>
      <c r="H1733" s="12"/>
      <c r="I1733" s="13">
        <v>1</v>
      </c>
      <c r="J1733" s="13">
        <v>4</v>
      </c>
      <c r="K1733" s="14" t="str">
        <f>HYPERLINK("http://twitter.com","Twitter Web Client")</f>
        <v>Twitter Web Client</v>
      </c>
      <c r="L1733" s="13">
        <v>368</v>
      </c>
      <c r="M1733" s="13">
        <v>342</v>
      </c>
      <c r="N1733" s="13">
        <v>3</v>
      </c>
      <c r="O1733" s="15"/>
      <c r="P1733" s="6">
        <v>41127.773518518516</v>
      </c>
      <c r="Q1733" s="17" t="s">
        <v>141</v>
      </c>
      <c r="R1733" s="18" t="s">
        <v>6450</v>
      </c>
      <c r="S1733" s="12"/>
      <c r="T1733" s="12"/>
      <c r="U1733" s="10" t="str">
        <f>HYPERLINK("https://pbs.twimg.com/profile_images/990314179897823232/YV_atF2U.jpg","View")</f>
        <v>View</v>
      </c>
    </row>
    <row r="1734" spans="1:21" ht="51">
      <c r="A1734" s="6">
        <v>43426.81454861111</v>
      </c>
      <c r="B1734" s="7" t="str">
        <f>HYPERLINK("https://twitter.com/gomezdelpozuelo","@gomezdelpozuelo")</f>
        <v>@gomezdelpozuelo</v>
      </c>
      <c r="C1734" s="8" t="s">
        <v>6451</v>
      </c>
      <c r="D1734" s="9" t="s">
        <v>6452</v>
      </c>
      <c r="E1734" s="10" t="str">
        <f>HYPERLINK("https://twitter.com/gomezdelpozuelo/status/1065674513193598977","1065674513193598977")</f>
        <v>1065674513193598977</v>
      </c>
      <c r="F1734" s="17" t="s">
        <v>6453</v>
      </c>
      <c r="G1734" s="12"/>
      <c r="H1734" s="12"/>
      <c r="I1734" s="13">
        <v>0</v>
      </c>
      <c r="J1734" s="13">
        <v>1</v>
      </c>
      <c r="K1734" s="14" t="str">
        <f>HYPERLINK("https://www.hootsuite.com","Hootsuite Inc.")</f>
        <v>Hootsuite Inc.</v>
      </c>
      <c r="L1734" s="13">
        <v>91624</v>
      </c>
      <c r="M1734" s="13">
        <v>11702</v>
      </c>
      <c r="N1734" s="13">
        <v>5022</v>
      </c>
      <c r="O1734" s="15"/>
      <c r="P1734" s="6">
        <v>39878.675312499996</v>
      </c>
      <c r="Q1734" s="17" t="s">
        <v>191</v>
      </c>
      <c r="R1734" s="18" t="s">
        <v>6454</v>
      </c>
      <c r="S1734" s="11" t="s">
        <v>6455</v>
      </c>
      <c r="T1734" s="12"/>
      <c r="U1734" s="10" t="str">
        <f>HYPERLINK("https://pbs.twimg.com/profile_images/457040704481415168/--NF-mnG.jpeg","View")</f>
        <v>View</v>
      </c>
    </row>
    <row r="1735" spans="1:21" ht="30.6">
      <c r="A1735" s="6">
        <v>43426.81287037037</v>
      </c>
      <c r="B1735" s="7" t="str">
        <f>HYPERLINK("https://twitter.com/CsRegionMurcia","@CsRegionMurcia")</f>
        <v>@CsRegionMurcia</v>
      </c>
      <c r="C1735" s="8" t="s">
        <v>6456</v>
      </c>
      <c r="D1735" s="9" t="s">
        <v>6457</v>
      </c>
      <c r="E1735" s="10" t="str">
        <f>HYPERLINK("https://twitter.com/CsRegionMurcia/status/1065673903152996354","1065673903152996354")</f>
        <v>1065673903152996354</v>
      </c>
      <c r="F1735" s="11" t="s">
        <v>6458</v>
      </c>
      <c r="G1735" s="11" t="s">
        <v>6459</v>
      </c>
      <c r="H1735" s="12"/>
      <c r="I1735" s="13">
        <v>6</v>
      </c>
      <c r="J1735" s="13">
        <v>5</v>
      </c>
      <c r="K1735" s="14" t="str">
        <f>HYPERLINK("http://twitter.com","Twitter Web Client")</f>
        <v>Twitter Web Client</v>
      </c>
      <c r="L1735" s="13">
        <v>6225</v>
      </c>
      <c r="M1735" s="13">
        <v>1108</v>
      </c>
      <c r="N1735" s="13">
        <v>96</v>
      </c>
      <c r="O1735" s="16" t="s">
        <v>26</v>
      </c>
      <c r="P1735" s="6">
        <v>40745.431666666671</v>
      </c>
      <c r="Q1735" s="17" t="s">
        <v>2827</v>
      </c>
      <c r="R1735" s="18" t="s">
        <v>6460</v>
      </c>
      <c r="S1735" s="11" t="s">
        <v>169</v>
      </c>
      <c r="T1735" s="12"/>
      <c r="U1735" s="10" t="str">
        <f>HYPERLINK("https://pbs.twimg.com/profile_images/1053559144299614208/SFwaZPxU.jpg","View")</f>
        <v>View</v>
      </c>
    </row>
    <row r="1736" spans="1:21" ht="40.799999999999997">
      <c r="A1736" s="6">
        <v>43426.812106481477</v>
      </c>
      <c r="B1736" s="7" t="str">
        <f>HYPERLINK("https://twitter.com/AntonioRNaranjo","@AntonioRNaranjo")</f>
        <v>@AntonioRNaranjo</v>
      </c>
      <c r="C1736" s="8" t="s">
        <v>2167</v>
      </c>
      <c r="D1736" s="9" t="s">
        <v>6461</v>
      </c>
      <c r="E1736" s="10" t="str">
        <f>HYPERLINK("https://twitter.com/AntonioRNaranjo/status/1065673627482361857","1065673627482361857")</f>
        <v>1065673627482361857</v>
      </c>
      <c r="F1736" s="11" t="s">
        <v>6462</v>
      </c>
      <c r="G1736" s="12"/>
      <c r="H1736" s="12"/>
      <c r="I1736" s="13">
        <v>14</v>
      </c>
      <c r="J1736" s="13">
        <v>35</v>
      </c>
      <c r="K1736" s="14" t="str">
        <f t="shared" ref="K1736:K1737" si="279">HYPERLINK("http://twitter.com/download/android","Twitter for Android")</f>
        <v>Twitter for Android</v>
      </c>
      <c r="L1736" s="13">
        <v>38259</v>
      </c>
      <c r="M1736" s="13">
        <v>998</v>
      </c>
      <c r="N1736" s="13">
        <v>724</v>
      </c>
      <c r="O1736" s="15"/>
      <c r="P1736" s="6">
        <v>40092.434618055559</v>
      </c>
      <c r="Q1736" s="17" t="s">
        <v>2168</v>
      </c>
      <c r="R1736" s="18" t="s">
        <v>2169</v>
      </c>
      <c r="S1736" s="11" t="s">
        <v>2170</v>
      </c>
      <c r="T1736" s="12"/>
      <c r="U1736" s="10" t="str">
        <f>HYPERLINK("https://pbs.twimg.com/profile_images/914332049061883906/nDDFYCio.jpg","View")</f>
        <v>View</v>
      </c>
    </row>
    <row r="1737" spans="1:21" ht="51">
      <c r="A1737" s="6">
        <v>43426.811747685184</v>
      </c>
      <c r="B1737" s="7" t="str">
        <f>HYPERLINK("https://twitter.com/perreteOvni","@perreteOvni")</f>
        <v>@perreteOvni</v>
      </c>
      <c r="C1737" s="8" t="s">
        <v>6463</v>
      </c>
      <c r="D1737" s="9" t="s">
        <v>6464</v>
      </c>
      <c r="E1737" s="10" t="str">
        <f>HYPERLINK("https://twitter.com/perreteOvni/status/1065673497454755840","1065673497454755840")</f>
        <v>1065673497454755840</v>
      </c>
      <c r="F1737" s="12"/>
      <c r="G1737" s="12"/>
      <c r="H1737" s="12"/>
      <c r="I1737" s="13">
        <v>3</v>
      </c>
      <c r="J1737" s="13">
        <v>8</v>
      </c>
      <c r="K1737" s="14" t="str">
        <f t="shared" si="279"/>
        <v>Twitter for Android</v>
      </c>
      <c r="L1737" s="13">
        <v>554</v>
      </c>
      <c r="M1737" s="13">
        <v>408</v>
      </c>
      <c r="N1737" s="13">
        <v>11</v>
      </c>
      <c r="O1737" s="15"/>
      <c r="P1737" s="6">
        <v>42177.332592592589</v>
      </c>
      <c r="Q1737" s="12"/>
      <c r="R1737" s="18" t="s">
        <v>6465</v>
      </c>
      <c r="S1737" s="12"/>
      <c r="T1737" s="12"/>
      <c r="U1737" s="10" t="str">
        <f>HYPERLINK("https://pbs.twimg.com/profile_images/704013073032552448/P9PkJrp-.jpg","View")</f>
        <v>View</v>
      </c>
    </row>
    <row r="1738" spans="1:21" ht="40.799999999999997">
      <c r="A1738" s="6">
        <v>43426.811608796299</v>
      </c>
      <c r="B1738" s="7" t="str">
        <f>HYPERLINK("https://twitter.com/GarciaCarmonaAM","@GarciaCarmonaAM")</f>
        <v>@GarciaCarmonaAM</v>
      </c>
      <c r="C1738" s="8" t="s">
        <v>3550</v>
      </c>
      <c r="D1738" s="9" t="s">
        <v>6341</v>
      </c>
      <c r="E1738" s="10" t="str">
        <f>HYPERLINK("https://twitter.com/GarciaCarmonaAM/status/1065673445428641792","1065673445428641792")</f>
        <v>1065673445428641792</v>
      </c>
      <c r="F1738" s="11" t="s">
        <v>3552</v>
      </c>
      <c r="G1738" s="12"/>
      <c r="H1738" s="12"/>
      <c r="I1738" s="13">
        <v>9</v>
      </c>
      <c r="J1738" s="13">
        <v>12</v>
      </c>
      <c r="K1738" s="14" t="str">
        <f>HYPERLINK("http://twitter.com","Twitter Web Client")</f>
        <v>Twitter Web Client</v>
      </c>
      <c r="L1738" s="13">
        <v>2703</v>
      </c>
      <c r="M1738" s="13">
        <v>2487</v>
      </c>
      <c r="N1738" s="13">
        <v>111</v>
      </c>
      <c r="O1738" s="15"/>
      <c r="P1738" s="6">
        <v>39995.782766203702</v>
      </c>
      <c r="Q1738" s="17" t="s">
        <v>3553</v>
      </c>
      <c r="R1738" s="18" t="s">
        <v>3554</v>
      </c>
      <c r="S1738" s="11" t="s">
        <v>3555</v>
      </c>
      <c r="T1738" s="12"/>
      <c r="U1738" s="10" t="str">
        <f>HYPERLINK("https://pbs.twimg.com/profile_images/1061276482830516224/m6xQAoDS.jpg","View")</f>
        <v>View</v>
      </c>
    </row>
    <row r="1739" spans="1:21" ht="30.6">
      <c r="A1739" s="6">
        <v>43426.811400462961</v>
      </c>
      <c r="B1739" s="7" t="str">
        <f>HYPERLINK("https://twitter.com/EPAndalucia","@EPAndalucia")</f>
        <v>@EPAndalucia</v>
      </c>
      <c r="C1739" s="8" t="s">
        <v>1028</v>
      </c>
      <c r="D1739" s="9" t="s">
        <v>6466</v>
      </c>
      <c r="E1739" s="10" t="str">
        <f>HYPERLINK("https://twitter.com/EPAndalucia/status/1065673371537600513","1065673371537600513")</f>
        <v>1065673371537600513</v>
      </c>
      <c r="F1739" s="11" t="s">
        <v>6467</v>
      </c>
      <c r="G1739" s="12"/>
      <c r="H1739" s="12"/>
      <c r="I1739" s="13">
        <v>0</v>
      </c>
      <c r="J1739" s="13">
        <v>0</v>
      </c>
      <c r="K1739" s="14" t="str">
        <f>HYPERLINK("http://www.europapress.es/andalucia","Twitter editor Andalucia")</f>
        <v>Twitter editor Andalucia</v>
      </c>
      <c r="L1739" s="13">
        <v>37381</v>
      </c>
      <c r="M1739" s="13">
        <v>1177</v>
      </c>
      <c r="N1739" s="13">
        <v>855</v>
      </c>
      <c r="O1739" s="15"/>
      <c r="P1739" s="6">
        <v>40540.744988425926</v>
      </c>
      <c r="Q1739" s="17" t="s">
        <v>1031</v>
      </c>
      <c r="R1739" s="18" t="s">
        <v>1032</v>
      </c>
      <c r="S1739" s="11" t="s">
        <v>1033</v>
      </c>
      <c r="T1739" s="12"/>
      <c r="U1739" s="10" t="str">
        <f>HYPERLINK("https://pbs.twimg.com/profile_images/876784913466503168/u7k3N7mS.jpg","View")</f>
        <v>View</v>
      </c>
    </row>
    <row r="1740" spans="1:21" ht="20.399999999999999">
      <c r="A1740" s="6">
        <v>43426.81013888889</v>
      </c>
      <c r="B1740" s="7" t="str">
        <f>HYPERLINK("https://twitter.com/tuitadyneLPD","@tuitadyneLPD")</f>
        <v>@tuitadyneLPD</v>
      </c>
      <c r="C1740" s="8" t="s">
        <v>6468</v>
      </c>
      <c r="D1740" s="9" t="s">
        <v>6469</v>
      </c>
      <c r="E1740" s="10" t="str">
        <f>HYPERLINK("https://twitter.com/tuitadyneLPD/status/1065672913314111488","1065672913314111488")</f>
        <v>1065672913314111488</v>
      </c>
      <c r="F1740" s="11" t="s">
        <v>6470</v>
      </c>
      <c r="G1740" s="12"/>
      <c r="H1740" s="12"/>
      <c r="I1740" s="13">
        <v>5</v>
      </c>
      <c r="J1740" s="13">
        <v>1</v>
      </c>
      <c r="K1740" s="14" t="str">
        <f>HYPERLINK("https://about.twitter.com/products/tweetdeck","TweetDeck")</f>
        <v>TweetDeck</v>
      </c>
      <c r="L1740" s="13">
        <v>7227</v>
      </c>
      <c r="M1740" s="13">
        <v>196</v>
      </c>
      <c r="N1740" s="13">
        <v>221</v>
      </c>
      <c r="O1740" s="15"/>
      <c r="P1740" s="6">
        <v>40127.069143518514</v>
      </c>
      <c r="Q1740" s="17" t="s">
        <v>28</v>
      </c>
      <c r="R1740" s="18" t="s">
        <v>6471</v>
      </c>
      <c r="S1740" s="11" t="s">
        <v>6472</v>
      </c>
      <c r="T1740" s="12"/>
      <c r="U1740" s="10" t="str">
        <f>HYPERLINK("https://pbs.twimg.com/profile_images/642599622/tuitadynne.jpg","View")</f>
        <v>View</v>
      </c>
    </row>
    <row r="1741" spans="1:21" ht="13.2">
      <c r="A1741" s="6">
        <v>43426.80976851852</v>
      </c>
      <c r="B1741" s="7" t="str">
        <f>HYPERLINK("https://twitter.com/EstoJusto","@EstoJusto")</f>
        <v>@EstoJusto</v>
      </c>
      <c r="C1741" s="8" t="s">
        <v>6473</v>
      </c>
      <c r="D1741" s="9" t="s">
        <v>6474</v>
      </c>
      <c r="E1741" s="10" t="str">
        <f>HYPERLINK("https://twitter.com/EstoJusto/status/1065672779603869698","1065672779603869698")</f>
        <v>1065672779603869698</v>
      </c>
      <c r="F1741" s="11" t="s">
        <v>6475</v>
      </c>
      <c r="G1741" s="12"/>
      <c r="H1741" s="12"/>
      <c r="I1741" s="13">
        <v>2</v>
      </c>
      <c r="J1741" s="13">
        <v>1</v>
      </c>
      <c r="K1741" s="14" t="str">
        <f>HYPERLINK("http://twitter.com","Twitter Web Client")</f>
        <v>Twitter Web Client</v>
      </c>
      <c r="L1741" s="13">
        <v>801</v>
      </c>
      <c r="M1741" s="13">
        <v>773</v>
      </c>
      <c r="N1741" s="13">
        <v>1</v>
      </c>
      <c r="O1741" s="15"/>
      <c r="P1741" s="6">
        <v>43318.459641203706</v>
      </c>
      <c r="Q1741" s="17" t="s">
        <v>6476</v>
      </c>
      <c r="R1741" s="18" t="s">
        <v>6477</v>
      </c>
      <c r="S1741" s="12"/>
      <c r="T1741" s="12"/>
      <c r="U1741" s="10" t="str">
        <f>HYPERLINK("https://pbs.twimg.com/profile_images/1026393096022642688/wtBRWQOW.jpg","View")</f>
        <v>View</v>
      </c>
    </row>
    <row r="1742" spans="1:21" ht="20.399999999999999">
      <c r="A1742" s="6">
        <v>43426.809351851851</v>
      </c>
      <c r="B1742" s="7" t="str">
        <f>HYPERLINK("https://twitter.com/juanlasmatas","@juanlasmatas")</f>
        <v>@juanlasmatas</v>
      </c>
      <c r="C1742" s="8" t="s">
        <v>6478</v>
      </c>
      <c r="D1742" s="9" t="s">
        <v>6479</v>
      </c>
      <c r="E1742" s="10" t="str">
        <f>HYPERLINK("https://twitter.com/juanlasmatas/status/1065672626520145923","1065672626520145923")</f>
        <v>1065672626520145923</v>
      </c>
      <c r="F1742" s="11" t="s">
        <v>479</v>
      </c>
      <c r="G1742" s="12"/>
      <c r="H1742" s="12"/>
      <c r="I1742" s="13">
        <v>2</v>
      </c>
      <c r="J1742" s="13">
        <v>2</v>
      </c>
      <c r="K1742" s="14" t="str">
        <f>HYPERLINK("http://www.facebook.com/twitter","Facebook")</f>
        <v>Facebook</v>
      </c>
      <c r="L1742" s="13">
        <v>584</v>
      </c>
      <c r="M1742" s="13">
        <v>805</v>
      </c>
      <c r="N1742" s="13">
        <v>18</v>
      </c>
      <c r="O1742" s="15"/>
      <c r="P1742" s="6">
        <v>40615.702499999999</v>
      </c>
      <c r="Q1742" s="12"/>
      <c r="R1742" s="18" t="s">
        <v>6480</v>
      </c>
      <c r="S1742" s="12"/>
      <c r="T1742" s="12"/>
      <c r="U1742" s="10" t="str">
        <f>HYPERLINK("https://pbs.twimg.com/profile_images/923231657615872000/FYrnyzhv.jpg","View")</f>
        <v>View</v>
      </c>
    </row>
    <row r="1743" spans="1:21" ht="30.6">
      <c r="A1743" s="6">
        <v>43426.809166666666</v>
      </c>
      <c r="B1743" s="7" t="str">
        <f>HYPERLINK("https://twitter.com/Lourdes_Pino","@Lourdes_Pino")</f>
        <v>@Lourdes_Pino</v>
      </c>
      <c r="C1743" s="8" t="s">
        <v>6481</v>
      </c>
      <c r="D1743" s="9" t="s">
        <v>6482</v>
      </c>
      <c r="E1743" s="10" t="str">
        <f>HYPERLINK("https://twitter.com/Lourdes_Pino/status/1065672561697148928","1065672561697148928")</f>
        <v>1065672561697148928</v>
      </c>
      <c r="F1743" s="12"/>
      <c r="G1743" s="12"/>
      <c r="H1743" s="12"/>
      <c r="I1743" s="13">
        <v>6</v>
      </c>
      <c r="J1743" s="13">
        <v>1</v>
      </c>
      <c r="K1743" s="14" t="str">
        <f>HYPERLINK("http://twitter.com/download/android","Twitter for Android")</f>
        <v>Twitter for Android</v>
      </c>
      <c r="L1743" s="13">
        <v>1114</v>
      </c>
      <c r="M1743" s="13">
        <v>1096</v>
      </c>
      <c r="N1743" s="13">
        <v>50</v>
      </c>
      <c r="O1743" s="15"/>
      <c r="P1743" s="6">
        <v>41234.688518518517</v>
      </c>
      <c r="Q1743" s="12"/>
      <c r="R1743" s="18" t="s">
        <v>6483</v>
      </c>
      <c r="S1743" s="12"/>
      <c r="T1743" s="12"/>
      <c r="U1743" s="10" t="str">
        <f>HYPERLINK("https://pbs.twimg.com/profile_images/927931162927992832/-Hlm9n_R.jpg","View")</f>
        <v>View</v>
      </c>
    </row>
    <row r="1744" spans="1:21" ht="20.399999999999999">
      <c r="A1744" s="6">
        <v>43426.808576388888</v>
      </c>
      <c r="B1744" s="7" t="str">
        <f>HYPERLINK("https://twitter.com/Icunde_67","@Icunde_67")</f>
        <v>@Icunde_67</v>
      </c>
      <c r="C1744" s="8" t="s">
        <v>6484</v>
      </c>
      <c r="D1744" s="9" t="s">
        <v>6485</v>
      </c>
      <c r="E1744" s="10" t="str">
        <f>HYPERLINK("https://twitter.com/Icunde_67/status/1065672348832055296","1065672348832055296")</f>
        <v>1065672348832055296</v>
      </c>
      <c r="F1744" s="11" t="s">
        <v>5550</v>
      </c>
      <c r="G1744" s="12"/>
      <c r="H1744" s="12"/>
      <c r="I1744" s="13">
        <v>2</v>
      </c>
      <c r="J1744" s="13">
        <v>3</v>
      </c>
      <c r="K1744" s="14" t="str">
        <f t="shared" ref="K1744:K1746" si="280">HYPERLINK("http://twitter.com","Twitter Web Client")</f>
        <v>Twitter Web Client</v>
      </c>
      <c r="L1744" s="13">
        <v>3018</v>
      </c>
      <c r="M1744" s="13">
        <v>2933</v>
      </c>
      <c r="N1744" s="13">
        <v>57</v>
      </c>
      <c r="O1744" s="15"/>
      <c r="P1744" s="6">
        <v>41337.625509259262</v>
      </c>
      <c r="Q1744" s="17" t="s">
        <v>277</v>
      </c>
      <c r="R1744" s="19"/>
      <c r="S1744" s="12"/>
      <c r="T1744" s="12"/>
      <c r="U1744" s="10" t="str">
        <f>HYPERLINK("https://pbs.twimg.com/profile_images/3433288835/ddf48551b37514135c1663e873eab7e1.jpeg","View")</f>
        <v>View</v>
      </c>
    </row>
    <row r="1745" spans="1:21" ht="40.799999999999997">
      <c r="A1745" s="6">
        <v>43426.808437500003</v>
      </c>
      <c r="B1745" s="7" t="str">
        <f>HYPERLINK("https://twitter.com/Cambio16","@Cambio16")</f>
        <v>@Cambio16</v>
      </c>
      <c r="C1745" s="8" t="s">
        <v>22</v>
      </c>
      <c r="D1745" s="9" t="s">
        <v>484</v>
      </c>
      <c r="E1745" s="10" t="str">
        <f>HYPERLINK("https://twitter.com/Cambio16/status/1065672297556656128","1065672297556656128")</f>
        <v>1065672297556656128</v>
      </c>
      <c r="F1745" s="11" t="s">
        <v>486</v>
      </c>
      <c r="G1745" s="11" t="s">
        <v>487</v>
      </c>
      <c r="H1745" s="12"/>
      <c r="I1745" s="13">
        <v>0</v>
      </c>
      <c r="J1745" s="13">
        <v>0</v>
      </c>
      <c r="K1745" s="14" t="str">
        <f t="shared" si="280"/>
        <v>Twitter Web Client</v>
      </c>
      <c r="L1745" s="13">
        <v>17345</v>
      </c>
      <c r="M1745" s="13">
        <v>765</v>
      </c>
      <c r="N1745" s="13">
        <v>499</v>
      </c>
      <c r="O1745" s="15"/>
      <c r="P1745" s="6">
        <v>40341.492245370369</v>
      </c>
      <c r="Q1745" s="17" t="s">
        <v>27</v>
      </c>
      <c r="R1745" s="18" t="s">
        <v>30</v>
      </c>
      <c r="S1745" s="11" t="s">
        <v>31</v>
      </c>
      <c r="T1745" s="12"/>
      <c r="U1745" s="10" t="str">
        <f>HYPERLINK("https://pbs.twimg.com/profile_images/1060221846208069632/vJfJ3_T5.jpg","View")</f>
        <v>View</v>
      </c>
    </row>
    <row r="1746" spans="1:21" ht="20.399999999999999">
      <c r="A1746" s="6">
        <v>43426.80841435185</v>
      </c>
      <c r="B1746" s="7" t="str">
        <f>HYPERLINK("https://twitter.com/Icunde_67","@Icunde_67")</f>
        <v>@Icunde_67</v>
      </c>
      <c r="C1746" s="8" t="s">
        <v>6484</v>
      </c>
      <c r="D1746" s="9" t="s">
        <v>6373</v>
      </c>
      <c r="E1746" s="10" t="str">
        <f>HYPERLINK("https://twitter.com/Icunde_67/status/1065672289809764353","1065672289809764353")</f>
        <v>1065672289809764353</v>
      </c>
      <c r="F1746" s="11" t="s">
        <v>1331</v>
      </c>
      <c r="G1746" s="12"/>
      <c r="H1746" s="12"/>
      <c r="I1746" s="13">
        <v>0</v>
      </c>
      <c r="J1746" s="13">
        <v>0</v>
      </c>
      <c r="K1746" s="14" t="str">
        <f t="shared" si="280"/>
        <v>Twitter Web Client</v>
      </c>
      <c r="L1746" s="13">
        <v>3018</v>
      </c>
      <c r="M1746" s="13">
        <v>2933</v>
      </c>
      <c r="N1746" s="13">
        <v>57</v>
      </c>
      <c r="O1746" s="15"/>
      <c r="P1746" s="6">
        <v>41337.625509259262</v>
      </c>
      <c r="Q1746" s="17" t="s">
        <v>277</v>
      </c>
      <c r="R1746" s="19"/>
      <c r="S1746" s="12"/>
      <c r="T1746" s="12"/>
      <c r="U1746" s="10" t="str">
        <f>HYPERLINK("https://pbs.twimg.com/profile_images/3433288835/ddf48551b37514135c1663e873eab7e1.jpeg","View")</f>
        <v>View</v>
      </c>
    </row>
    <row r="1747" spans="1:21" ht="51">
      <c r="A1747" s="6">
        <v>43426.808321759258</v>
      </c>
      <c r="B1747" s="7" t="str">
        <f>HYPERLINK("https://twitter.com/joaquinalmaida","@joaquinalmaida")</f>
        <v>@joaquinalmaida</v>
      </c>
      <c r="C1747" s="8" t="s">
        <v>6353</v>
      </c>
      <c r="D1747" s="9" t="s">
        <v>6354</v>
      </c>
      <c r="E1747" s="10" t="str">
        <f>HYPERLINK("https://twitter.com/joaquinalmaida/status/1065672256662196225","1065672256662196225")</f>
        <v>1065672256662196225</v>
      </c>
      <c r="F1747" s="11" t="s">
        <v>6355</v>
      </c>
      <c r="G1747" s="12"/>
      <c r="H1747" s="12"/>
      <c r="I1747" s="13">
        <v>0</v>
      </c>
      <c r="J1747" s="13">
        <v>1</v>
      </c>
      <c r="K1747" s="14" t="str">
        <f>HYPERLINK("https://mobile.twitter.com","Twitter Lite")</f>
        <v>Twitter Lite</v>
      </c>
      <c r="L1747" s="13">
        <v>76</v>
      </c>
      <c r="M1747" s="13">
        <v>175</v>
      </c>
      <c r="N1747" s="13">
        <v>0</v>
      </c>
      <c r="O1747" s="15"/>
      <c r="P1747" s="6">
        <v>40845.726736111115</v>
      </c>
      <c r="Q1747" s="12"/>
      <c r="R1747" s="18" t="s">
        <v>6356</v>
      </c>
      <c r="S1747" s="12"/>
      <c r="T1747" s="12"/>
      <c r="U1747" s="10" t="str">
        <f>HYPERLINK("https://pbs.twimg.com/profile_images/2718481739/004fa3fae875991bca9181efee166a43.png","View")</f>
        <v>View</v>
      </c>
    </row>
    <row r="1748" spans="1:21" ht="20.399999999999999">
      <c r="A1748" s="6">
        <v>43426.807986111111</v>
      </c>
      <c r="B1748" s="7" t="str">
        <f>HYPERLINK("https://twitter.com/PrezMcmlx","@PrezMcmlx")</f>
        <v>@PrezMcmlx</v>
      </c>
      <c r="C1748" s="8" t="s">
        <v>6486</v>
      </c>
      <c r="D1748" s="9" t="s">
        <v>2981</v>
      </c>
      <c r="E1748" s="10" t="str">
        <f>HYPERLINK("https://twitter.com/PrezMcmlx/status/1065672132196212736","1065672132196212736")</f>
        <v>1065672132196212736</v>
      </c>
      <c r="F1748" s="11" t="s">
        <v>6487</v>
      </c>
      <c r="G1748" s="12"/>
      <c r="H1748" s="12"/>
      <c r="I1748" s="13">
        <v>0</v>
      </c>
      <c r="J1748" s="13">
        <v>0</v>
      </c>
      <c r="K1748" s="14" t="str">
        <f>HYPERLINK("http://twitter.com/#!/download/ipad","Twitter for iPad")</f>
        <v>Twitter for iPad</v>
      </c>
      <c r="L1748" s="13">
        <v>255</v>
      </c>
      <c r="M1748" s="13">
        <v>509</v>
      </c>
      <c r="N1748" s="13">
        <v>7</v>
      </c>
      <c r="O1748" s="15"/>
      <c r="P1748" s="6">
        <v>41171.095358796294</v>
      </c>
      <c r="Q1748" s="12"/>
      <c r="R1748" s="18" t="s">
        <v>4195</v>
      </c>
      <c r="S1748" s="12"/>
      <c r="T1748" s="12"/>
      <c r="U1748" s="10" t="str">
        <f>HYPERLINK("https://pbs.twimg.com/profile_images/1057070315166203904/jXOpQ7Cz.jpg","View")</f>
        <v>View</v>
      </c>
    </row>
    <row r="1749" spans="1:21" ht="40.799999999999997">
      <c r="A1749" s="6">
        <v>43426.807442129633</v>
      </c>
      <c r="B1749" s="7" t="str">
        <f>HYPERLINK("https://twitter.com/zorrito1984","@zorrito1984")</f>
        <v>@zorrito1984</v>
      </c>
      <c r="C1749" s="8" t="s">
        <v>6488</v>
      </c>
      <c r="D1749" s="9" t="s">
        <v>5055</v>
      </c>
      <c r="E1749" s="10" t="str">
        <f>HYPERLINK("https://twitter.com/zorrito1984/status/1065671937383370752","1065671937383370752")</f>
        <v>1065671937383370752</v>
      </c>
      <c r="F1749" s="11" t="s">
        <v>4378</v>
      </c>
      <c r="G1749" s="12"/>
      <c r="H1749" s="12"/>
      <c r="I1749" s="13">
        <v>0</v>
      </c>
      <c r="J1749" s="13">
        <v>0</v>
      </c>
      <c r="K1749" s="14" t="str">
        <f>HYPERLINK("http://twitter.com","Twitter Web Client")</f>
        <v>Twitter Web Client</v>
      </c>
      <c r="L1749" s="13">
        <v>443</v>
      </c>
      <c r="M1749" s="13">
        <v>397</v>
      </c>
      <c r="N1749" s="13">
        <v>1</v>
      </c>
      <c r="O1749" s="15"/>
      <c r="P1749" s="6">
        <v>41490.325983796298</v>
      </c>
      <c r="Q1749" s="17" t="s">
        <v>6489</v>
      </c>
      <c r="R1749" s="18" t="s">
        <v>6490</v>
      </c>
      <c r="S1749" s="12"/>
      <c r="T1749" s="12"/>
      <c r="U1749" s="10" t="str">
        <f>HYPERLINK("https://pbs.twimg.com/profile_images/950642100458151936/TMQ1JBma.jpg","View")</f>
        <v>View</v>
      </c>
    </row>
    <row r="1750" spans="1:21" ht="30.6">
      <c r="A1750" s="6">
        <v>43426.807175925926</v>
      </c>
      <c r="B1750" s="7" t="str">
        <f>HYPERLINK("https://twitter.com/pilar_diz","@pilar_diz")</f>
        <v>@pilar_diz</v>
      </c>
      <c r="C1750" s="8" t="s">
        <v>6491</v>
      </c>
      <c r="D1750" s="9" t="s">
        <v>6492</v>
      </c>
      <c r="E1750" s="10" t="str">
        <f>HYPERLINK("https://twitter.com/pilar_diz/status/1065671838854979584","1065671838854979584")</f>
        <v>1065671838854979584</v>
      </c>
      <c r="F1750" s="12"/>
      <c r="G1750" s="12"/>
      <c r="H1750" s="12"/>
      <c r="I1750" s="13">
        <v>3</v>
      </c>
      <c r="J1750" s="13">
        <v>49</v>
      </c>
      <c r="K1750" s="14" t="str">
        <f>HYPERLINK("http://twitter.com/#!/download/ipad","Twitter for iPad")</f>
        <v>Twitter for iPad</v>
      </c>
      <c r="L1750" s="13">
        <v>15607</v>
      </c>
      <c r="M1750" s="13">
        <v>12370</v>
      </c>
      <c r="N1750" s="13">
        <v>124</v>
      </c>
      <c r="O1750" s="15"/>
      <c r="P1750" s="6">
        <v>41104.116736111115</v>
      </c>
      <c r="Q1750" s="12"/>
      <c r="R1750" s="18" t="s">
        <v>6493</v>
      </c>
      <c r="S1750" s="12"/>
      <c r="T1750" s="12"/>
      <c r="U1750" s="10" t="str">
        <f>HYPERLINK("https://pbs.twimg.com/profile_images/1065194553001553920/oUUXlaKL.jpg","View")</f>
        <v>View</v>
      </c>
    </row>
    <row r="1751" spans="1:21" ht="40.799999999999997">
      <c r="A1751" s="6">
        <v>43426.806967592594</v>
      </c>
      <c r="B1751" s="7" t="str">
        <f>HYPERLINK("https://twitter.com/RJASANmartin","@RJASANmartin")</f>
        <v>@RJASANmartin</v>
      </c>
      <c r="C1751" s="8" t="s">
        <v>6494</v>
      </c>
      <c r="D1751" s="9" t="s">
        <v>6495</v>
      </c>
      <c r="E1751" s="10" t="str">
        <f>HYPERLINK("https://twitter.com/RJASANmartin/status/1065671762380275712","1065671762380275712")</f>
        <v>1065671762380275712</v>
      </c>
      <c r="F1751" s="11" t="s">
        <v>6496</v>
      </c>
      <c r="G1751" s="12"/>
      <c r="H1751" s="12"/>
      <c r="I1751" s="13">
        <v>0</v>
      </c>
      <c r="J1751" s="13">
        <v>0</v>
      </c>
      <c r="K1751" s="14" t="str">
        <f>HYPERLINK("http://www.facebook.com/twitter","Facebook")</f>
        <v>Facebook</v>
      </c>
      <c r="L1751" s="13">
        <v>196</v>
      </c>
      <c r="M1751" s="13">
        <v>355</v>
      </c>
      <c r="N1751" s="13">
        <v>6</v>
      </c>
      <c r="O1751" s="15"/>
      <c r="P1751" s="6">
        <v>40283.973692129628</v>
      </c>
      <c r="Q1751" s="17" t="s">
        <v>6497</v>
      </c>
      <c r="R1751" s="18" t="s">
        <v>6498</v>
      </c>
      <c r="S1751" s="12"/>
      <c r="T1751" s="12"/>
      <c r="U1751" s="10" t="str">
        <f>HYPERLINK("https://pbs.twimg.com/profile_images/433026405912174592/7Ug9pDfh.jpeg","View")</f>
        <v>View</v>
      </c>
    </row>
    <row r="1752" spans="1:21" ht="40.799999999999997">
      <c r="A1752" s="6">
        <v>43426.805821759262</v>
      </c>
      <c r="B1752" s="7" t="str">
        <f>HYPERLINK("https://twitter.com/mentxudripos","@mentxudripos")</f>
        <v>@mentxudripos</v>
      </c>
      <c r="C1752" s="8" t="s">
        <v>6499</v>
      </c>
      <c r="D1752" s="9" t="s">
        <v>6500</v>
      </c>
      <c r="E1752" s="10" t="str">
        <f>HYPERLINK("https://twitter.com/mentxudripos/status/1065671347496501248","1065671347496501248")</f>
        <v>1065671347496501248</v>
      </c>
      <c r="F1752" s="11" t="s">
        <v>6501</v>
      </c>
      <c r="G1752" s="11" t="s">
        <v>6502</v>
      </c>
      <c r="H1752" s="12"/>
      <c r="I1752" s="13">
        <v>0</v>
      </c>
      <c r="J1752" s="13">
        <v>0</v>
      </c>
      <c r="K1752" s="14" t="str">
        <f>HYPERLINK("https://ifttt.com","IFTTT")</f>
        <v>IFTTT</v>
      </c>
      <c r="L1752" s="13">
        <v>623</v>
      </c>
      <c r="M1752" s="13">
        <v>566</v>
      </c>
      <c r="N1752" s="13">
        <v>31</v>
      </c>
      <c r="O1752" s="15"/>
      <c r="P1752" s="6">
        <v>39956.724722222221</v>
      </c>
      <c r="Q1752" s="17" t="s">
        <v>27</v>
      </c>
      <c r="R1752" s="18" t="s">
        <v>6503</v>
      </c>
      <c r="S1752" s="12"/>
      <c r="T1752" s="12"/>
      <c r="U1752" s="10" t="str">
        <f>HYPERLINK("https://pbs.twimg.com/profile_images/968158915530838016/d710fCSP.jpg","View")</f>
        <v>View</v>
      </c>
    </row>
    <row r="1753" spans="1:21" ht="20.399999999999999">
      <c r="A1753" s="6">
        <v>43426.805625000001</v>
      </c>
      <c r="B1753" s="7" t="str">
        <f>HYPERLINK("https://twitter.com/mjoselavoz","@mjoselavoz")</f>
        <v>@mjoselavoz</v>
      </c>
      <c r="C1753" s="8" t="s">
        <v>1406</v>
      </c>
      <c r="D1753" s="9" t="s">
        <v>6504</v>
      </c>
      <c r="E1753" s="10" t="str">
        <f>HYPERLINK("https://twitter.com/mjoselavoz/status/1065671276847611905","1065671276847611905")</f>
        <v>1065671276847611905</v>
      </c>
      <c r="F1753" s="11" t="s">
        <v>6505</v>
      </c>
      <c r="G1753" s="12"/>
      <c r="H1753" s="12"/>
      <c r="I1753" s="13">
        <v>0</v>
      </c>
      <c r="J1753" s="13">
        <v>0</v>
      </c>
      <c r="K1753" s="14" t="str">
        <f t="shared" ref="K1753:K1754" si="281">HYPERLINK("http://twitter.com","Twitter Web Client")</f>
        <v>Twitter Web Client</v>
      </c>
      <c r="L1753" s="13">
        <v>14</v>
      </c>
      <c r="M1753" s="13">
        <v>45</v>
      </c>
      <c r="N1753" s="13">
        <v>0</v>
      </c>
      <c r="O1753" s="15"/>
      <c r="P1753" s="6">
        <v>43360.740937499999</v>
      </c>
      <c r="Q1753" s="12"/>
      <c r="R1753" s="19"/>
      <c r="S1753" s="12"/>
      <c r="T1753" s="12"/>
      <c r="U1753" s="10" t="str">
        <f>HYPERLINK("https://pbs.twimg.com/profile_images/1050770379965440000/rBRDNC_J.jpg","View")</f>
        <v>View</v>
      </c>
    </row>
    <row r="1754" spans="1:21" ht="30.6">
      <c r="A1754" s="6">
        <v>43426.804814814815</v>
      </c>
      <c r="B1754" s="7" t="str">
        <f>HYPERLINK("https://twitter.com/republicano1945","@republicano1945")</f>
        <v>@republicano1945</v>
      </c>
      <c r="C1754" s="8" t="s">
        <v>6506</v>
      </c>
      <c r="D1754" s="9" t="s">
        <v>6507</v>
      </c>
      <c r="E1754" s="10" t="str">
        <f>HYPERLINK("https://twitter.com/republicano1945/status/1065670985809125378","1065670985809125378")</f>
        <v>1065670985809125378</v>
      </c>
      <c r="F1754" s="12"/>
      <c r="G1754" s="12"/>
      <c r="H1754" s="12"/>
      <c r="I1754" s="13">
        <v>0</v>
      </c>
      <c r="J1754" s="13">
        <v>4</v>
      </c>
      <c r="K1754" s="14" t="str">
        <f t="shared" si="281"/>
        <v>Twitter Web Client</v>
      </c>
      <c r="L1754" s="13">
        <v>8219</v>
      </c>
      <c r="M1754" s="13">
        <v>8548</v>
      </c>
      <c r="N1754" s="13">
        <v>19</v>
      </c>
      <c r="O1754" s="15"/>
      <c r="P1754" s="6">
        <v>42992.106516203705</v>
      </c>
      <c r="Q1754" s="17" t="s">
        <v>6508</v>
      </c>
      <c r="R1754" s="18" t="s">
        <v>6509</v>
      </c>
      <c r="S1754" s="12"/>
      <c r="T1754" s="12"/>
      <c r="U1754" s="10" t="str">
        <f>HYPERLINK("https://pbs.twimg.com/profile_images/920346803001856000/ZsnGz_F1.jpg","View")</f>
        <v>View</v>
      </c>
    </row>
    <row r="1755" spans="1:21" ht="30.6">
      <c r="A1755" s="6">
        <v>43426.804189814815</v>
      </c>
      <c r="B1755" s="7" t="str">
        <f>HYPERLINK("https://twitter.com/ElDigitalAB","@ElDigitalAB")</f>
        <v>@ElDigitalAB</v>
      </c>
      <c r="C1755" s="8" t="s">
        <v>6510</v>
      </c>
      <c r="D1755" s="9" t="s">
        <v>6511</v>
      </c>
      <c r="E1755" s="10" t="str">
        <f>HYPERLINK("https://twitter.com/ElDigitalAB/status/1065670757701824512","1065670757701824512")</f>
        <v>1065670757701824512</v>
      </c>
      <c r="F1755" s="11" t="s">
        <v>6512</v>
      </c>
      <c r="G1755" s="12"/>
      <c r="H1755" s="12"/>
      <c r="I1755" s="13">
        <v>0</v>
      </c>
      <c r="J1755" s="13">
        <v>0</v>
      </c>
      <c r="K1755" s="14" t="str">
        <f>HYPERLINK("http://www.eldigitaldealbacete.com","Publicacion automatica digitalab")</f>
        <v>Publicacion automatica digitalab</v>
      </c>
      <c r="L1755" s="13">
        <v>21423</v>
      </c>
      <c r="M1755" s="13">
        <v>10</v>
      </c>
      <c r="N1755" s="13">
        <v>133</v>
      </c>
      <c r="O1755" s="15"/>
      <c r="P1755" s="6">
        <v>41330.949247685188</v>
      </c>
      <c r="Q1755" s="17" t="s">
        <v>6513</v>
      </c>
      <c r="R1755" s="18" t="s">
        <v>6514</v>
      </c>
      <c r="S1755" s="11" t="s">
        <v>6515</v>
      </c>
      <c r="T1755" s="12"/>
      <c r="U1755" s="10" t="str">
        <f>HYPERLINK("https://pbs.twimg.com/profile_images/653690392764882945/v9wdD24C.png","View")</f>
        <v>View</v>
      </c>
    </row>
    <row r="1756" spans="1:21" ht="51">
      <c r="A1756" s="6">
        <v>43426.80400462963</v>
      </c>
      <c r="B1756" s="7" t="str">
        <f>HYPERLINK("https://twitter.com/TercioHispanico","@TercioHispanico")</f>
        <v>@TercioHispanico</v>
      </c>
      <c r="C1756" s="8" t="s">
        <v>6398</v>
      </c>
      <c r="D1756" s="9" t="s">
        <v>6516</v>
      </c>
      <c r="E1756" s="10" t="str">
        <f>HYPERLINK("https://twitter.com/TercioHispanico/status/1065670689351438336","1065670689351438336")</f>
        <v>1065670689351438336</v>
      </c>
      <c r="F1756" s="11" t="s">
        <v>6517</v>
      </c>
      <c r="G1756" s="12"/>
      <c r="H1756" s="12"/>
      <c r="I1756" s="13">
        <v>1</v>
      </c>
      <c r="J1756" s="13">
        <v>0</v>
      </c>
      <c r="K1756" s="14" t="str">
        <f>HYPERLINK("https://diariorc.com","Tercio Hispánico App C")</f>
        <v>Tercio Hispánico App C</v>
      </c>
      <c r="L1756" s="13">
        <v>1463</v>
      </c>
      <c r="M1756" s="13">
        <v>1448</v>
      </c>
      <c r="N1756" s="13">
        <v>3</v>
      </c>
      <c r="O1756" s="15"/>
      <c r="P1756" s="6">
        <v>43074.817384259259</v>
      </c>
      <c r="Q1756" s="17" t="s">
        <v>28</v>
      </c>
      <c r="R1756" s="18" t="s">
        <v>6400</v>
      </c>
      <c r="S1756" s="12"/>
      <c r="T1756" s="12"/>
      <c r="U1756" s="10" t="str">
        <f>HYPERLINK("https://pbs.twimg.com/profile_images/938810411045941249/GJ1yq9OJ.jpg","View")</f>
        <v>View</v>
      </c>
    </row>
    <row r="1757" spans="1:21" ht="20.399999999999999">
      <c r="A1757" s="6">
        <v>43426.803171296298</v>
      </c>
      <c r="B1757" s="7" t="str">
        <f>HYPERLINK("https://twitter.com/juanfernandodt","@juanfernandodt")</f>
        <v>@juanfernandodt</v>
      </c>
      <c r="C1757" s="8" t="s">
        <v>6518</v>
      </c>
      <c r="D1757" s="9" t="s">
        <v>6519</v>
      </c>
      <c r="E1757" s="10" t="str">
        <f>HYPERLINK("https://twitter.com/juanfernandodt/status/1065670388305330176","1065670388305330176")</f>
        <v>1065670388305330176</v>
      </c>
      <c r="F1757" s="11" t="s">
        <v>6222</v>
      </c>
      <c r="G1757" s="12"/>
      <c r="H1757" s="12"/>
      <c r="I1757" s="13">
        <v>0</v>
      </c>
      <c r="J1757" s="13">
        <v>0</v>
      </c>
      <c r="K1757" s="14" t="str">
        <f t="shared" ref="K1757:K1758" si="282">HYPERLINK("http://twitter.com","Twitter Web Client")</f>
        <v>Twitter Web Client</v>
      </c>
      <c r="L1757" s="13">
        <v>827</v>
      </c>
      <c r="M1757" s="13">
        <v>856</v>
      </c>
      <c r="N1757" s="13">
        <v>69</v>
      </c>
      <c r="O1757" s="15"/>
      <c r="P1757" s="6">
        <v>40262.559571759259</v>
      </c>
      <c r="Q1757" s="17" t="s">
        <v>72</v>
      </c>
      <c r="R1757" s="18" t="s">
        <v>6520</v>
      </c>
      <c r="S1757" s="11" t="s">
        <v>6521</v>
      </c>
      <c r="T1757" s="12"/>
      <c r="U1757" s="10" t="str">
        <f>HYPERLINK("https://pbs.twimg.com/profile_images/994171977337274368/q---p9ij.jpg","View")</f>
        <v>View</v>
      </c>
    </row>
    <row r="1758" spans="1:21" ht="40.799999999999997">
      <c r="A1758" s="6">
        <v>43426.802835648152</v>
      </c>
      <c r="B1758" s="7" t="str">
        <f>HYPERLINK("https://twitter.com/SERmallorca","@SERmallorca")</f>
        <v>@SERmallorca</v>
      </c>
      <c r="C1758" s="8" t="s">
        <v>6522</v>
      </c>
      <c r="D1758" s="9" t="s">
        <v>6523</v>
      </c>
      <c r="E1758" s="10" t="str">
        <f>HYPERLINK("https://twitter.com/SERmallorca/status/1065670268096585733","1065670268096585733")</f>
        <v>1065670268096585733</v>
      </c>
      <c r="F1758" s="12"/>
      <c r="G1758" s="11" t="s">
        <v>6524</v>
      </c>
      <c r="H1758" s="12"/>
      <c r="I1758" s="13">
        <v>2</v>
      </c>
      <c r="J1758" s="13">
        <v>2</v>
      </c>
      <c r="K1758" s="14" t="str">
        <f t="shared" si="282"/>
        <v>Twitter Web Client</v>
      </c>
      <c r="L1758" s="13">
        <v>6512</v>
      </c>
      <c r="M1758" s="13">
        <v>793</v>
      </c>
      <c r="N1758" s="13">
        <v>142</v>
      </c>
      <c r="O1758" s="15"/>
      <c r="P1758" s="6">
        <v>40939.866481481484</v>
      </c>
      <c r="Q1758" s="17" t="s">
        <v>225</v>
      </c>
      <c r="R1758" s="18" t="s">
        <v>6525</v>
      </c>
      <c r="S1758" s="11" t="s">
        <v>6526</v>
      </c>
      <c r="T1758" s="12"/>
      <c r="U1758" s="10" t="str">
        <f>HYPERLINK("https://pbs.twimg.com/profile_images/1055767911518949377/zeKQCy60.jpg","View")</f>
        <v>View</v>
      </c>
    </row>
    <row r="1759" spans="1:21" ht="51">
      <c r="A1759" s="6">
        <v>43426.802627314813</v>
      </c>
      <c r="B1759" s="7" t="str">
        <f>HYPERLINK("https://twitter.com/AdeSiracusa","@AdeSiracusa")</f>
        <v>@AdeSiracusa</v>
      </c>
      <c r="C1759" s="8" t="s">
        <v>6415</v>
      </c>
      <c r="D1759" s="9" t="s">
        <v>6527</v>
      </c>
      <c r="E1759" s="10" t="str">
        <f>HYPERLINK("https://twitter.com/AdeSiracusa/status/1065670189684060165","1065670189684060165")</f>
        <v>1065670189684060165</v>
      </c>
      <c r="F1759" s="11" t="s">
        <v>6517</v>
      </c>
      <c r="G1759" s="12"/>
      <c r="H1759" s="12"/>
      <c r="I1759" s="13">
        <v>0</v>
      </c>
      <c r="J1759" s="13">
        <v>0</v>
      </c>
      <c r="K1759" s="14" t="str">
        <f>HYPERLINK("http://www.republicosvenezuela.com/","AdeSiracusa")</f>
        <v>AdeSiracusa</v>
      </c>
      <c r="L1759" s="13">
        <v>3920</v>
      </c>
      <c r="M1759" s="13">
        <v>3927</v>
      </c>
      <c r="N1759" s="13">
        <v>12</v>
      </c>
      <c r="O1759" s="15"/>
      <c r="P1759" s="6">
        <v>42958.576388888891</v>
      </c>
      <c r="Q1759" s="17" t="s">
        <v>5640</v>
      </c>
      <c r="R1759" s="18" t="s">
        <v>6416</v>
      </c>
      <c r="S1759" s="12"/>
      <c r="T1759" s="12"/>
      <c r="U1759" s="10" t="str">
        <f>HYPERLINK("https://pbs.twimg.com/profile_images/895978354591105024/x2wNXrPl.jpg","View")</f>
        <v>View</v>
      </c>
    </row>
    <row r="1760" spans="1:21" ht="20.399999999999999">
      <c r="A1760" s="6">
        <v>43426.801412037035</v>
      </c>
      <c r="B1760" s="7" t="str">
        <f>HYPERLINK("https://twitter.com/Moncloa","@Moncloa")</f>
        <v>@Moncloa</v>
      </c>
      <c r="C1760" s="8" t="s">
        <v>1487</v>
      </c>
      <c r="D1760" s="9" t="s">
        <v>6528</v>
      </c>
      <c r="E1760" s="10" t="str">
        <f>HYPERLINK("https://twitter.com/Moncloa/status/1065669749802029056","1065669749802029056")</f>
        <v>1065669749802029056</v>
      </c>
      <c r="F1760" s="11" t="s">
        <v>6529</v>
      </c>
      <c r="G1760" s="12"/>
      <c r="H1760" s="12"/>
      <c r="I1760" s="13">
        <v>0</v>
      </c>
      <c r="J1760" s="13">
        <v>0</v>
      </c>
      <c r="K1760" s="14" t="str">
        <f>HYPERLINK("http://www.gkopu.com/books","MicroContent")</f>
        <v>MicroContent</v>
      </c>
      <c r="L1760" s="13">
        <v>9324</v>
      </c>
      <c r="M1760" s="13">
        <v>1</v>
      </c>
      <c r="N1760" s="13">
        <v>42</v>
      </c>
      <c r="O1760" s="15"/>
      <c r="P1760" s="6">
        <v>40723.496319444443</v>
      </c>
      <c r="Q1760" s="17" t="s">
        <v>28</v>
      </c>
      <c r="R1760" s="18" t="s">
        <v>1490</v>
      </c>
      <c r="S1760" s="12"/>
      <c r="T1760" s="12"/>
      <c r="U1760" s="10" t="str">
        <f>HYPERLINK("https://pbs.twimg.com/profile_images/2272310074/v0xjmozqhpv90d675qs9.jpeg","View")</f>
        <v>View</v>
      </c>
    </row>
    <row r="1761" spans="1:21" ht="30.6">
      <c r="A1761" s="6">
        <v>43426.801238425927</v>
      </c>
      <c r="B1761" s="7" t="str">
        <f>HYPERLINK("https://twitter.com/jc_karnak23","@jc_karnak23")</f>
        <v>@jc_karnak23</v>
      </c>
      <c r="C1761" s="8" t="s">
        <v>1547</v>
      </c>
      <c r="D1761" s="9" t="s">
        <v>1775</v>
      </c>
      <c r="E1761" s="10" t="str">
        <f>HYPERLINK("https://twitter.com/jc_karnak23/status/1065669688628256768","1065669688628256768")</f>
        <v>1065669688628256768</v>
      </c>
      <c r="F1761" s="11" t="s">
        <v>1776</v>
      </c>
      <c r="G1761" s="12"/>
      <c r="H1761" s="12"/>
      <c r="I1761" s="13">
        <v>2</v>
      </c>
      <c r="J1761" s="13">
        <v>1</v>
      </c>
      <c r="K1761" s="14" t="str">
        <f t="shared" ref="K1761:K1762" si="283">HYPERLINK("http://twitter.com/download/android","Twitter for Android")</f>
        <v>Twitter for Android</v>
      </c>
      <c r="L1761" s="13">
        <v>2819</v>
      </c>
      <c r="M1761" s="13">
        <v>2824</v>
      </c>
      <c r="N1761" s="13">
        <v>33</v>
      </c>
      <c r="O1761" s="15"/>
      <c r="P1761" s="6">
        <v>41344.410902777774</v>
      </c>
      <c r="Q1761" s="17" t="s">
        <v>1550</v>
      </c>
      <c r="R1761" s="18" t="s">
        <v>1551</v>
      </c>
      <c r="S1761" s="12"/>
      <c r="T1761" s="12"/>
      <c r="U1761" s="10" t="str">
        <f>HYPERLINK("https://pbs.twimg.com/profile_images/378800000791829812/b1c03852c594214bb9fbd4c8b553b4f9.jpeg","View")</f>
        <v>View</v>
      </c>
    </row>
    <row r="1762" spans="1:21" ht="30.6">
      <c r="A1762" s="6">
        <v>43426.800300925926</v>
      </c>
      <c r="B1762" s="7" t="str">
        <f>HYPERLINK("https://twitter.com/entretiniebla","@entretiniebla")</f>
        <v>@entretiniebla</v>
      </c>
      <c r="C1762" s="8" t="s">
        <v>6530</v>
      </c>
      <c r="D1762" s="9" t="s">
        <v>6531</v>
      </c>
      <c r="E1762" s="10" t="str">
        <f>HYPERLINK("https://twitter.com/entretiniebla/status/1065669349258813440","1065669349258813440")</f>
        <v>1065669349258813440</v>
      </c>
      <c r="F1762" s="12"/>
      <c r="G1762" s="11" t="s">
        <v>3164</v>
      </c>
      <c r="H1762" s="12"/>
      <c r="I1762" s="13">
        <v>48</v>
      </c>
      <c r="J1762" s="13">
        <v>57</v>
      </c>
      <c r="K1762" s="14" t="str">
        <f t="shared" si="283"/>
        <v>Twitter for Android</v>
      </c>
      <c r="L1762" s="13">
        <v>2276</v>
      </c>
      <c r="M1762" s="13">
        <v>1915</v>
      </c>
      <c r="N1762" s="13">
        <v>22</v>
      </c>
      <c r="O1762" s="15"/>
      <c r="P1762" s="6">
        <v>41395.820543981477</v>
      </c>
      <c r="Q1762" s="12"/>
      <c r="R1762" s="18" t="s">
        <v>6532</v>
      </c>
      <c r="S1762" s="12"/>
      <c r="T1762" s="12"/>
      <c r="U1762" s="10" t="str">
        <f>HYPERLINK("https://pbs.twimg.com/profile_images/3601799220/eab02de39bb85f1a72013118b347d784.jpeg","View")</f>
        <v>View</v>
      </c>
    </row>
    <row r="1763" spans="1:21" ht="20.399999999999999">
      <c r="A1763" s="6">
        <v>43426.800023148149</v>
      </c>
      <c r="B1763" s="7" t="str">
        <f>HYPERLINK("https://twitter.com/1980Mjab","@1980Mjab")</f>
        <v>@1980Mjab</v>
      </c>
      <c r="C1763" s="8" t="s">
        <v>6533</v>
      </c>
      <c r="D1763" s="9" t="s">
        <v>2981</v>
      </c>
      <c r="E1763" s="10" t="str">
        <f>HYPERLINK("https://twitter.com/1980Mjab/status/1065669248268292096","1065669248268292096")</f>
        <v>1065669248268292096</v>
      </c>
      <c r="F1763" s="11" t="s">
        <v>6534</v>
      </c>
      <c r="G1763" s="12"/>
      <c r="H1763" s="12"/>
      <c r="I1763" s="13">
        <v>0</v>
      </c>
      <c r="J1763" s="13">
        <v>0</v>
      </c>
      <c r="K1763" s="14" t="str">
        <f>HYPERLINK("http://twitter.com/download/iphone","Twitter for iPhone")</f>
        <v>Twitter for iPhone</v>
      </c>
      <c r="L1763" s="13">
        <v>151</v>
      </c>
      <c r="M1763" s="13">
        <v>316</v>
      </c>
      <c r="N1763" s="13">
        <v>2</v>
      </c>
      <c r="O1763" s="15"/>
      <c r="P1763" s="6">
        <v>41847.771747685183</v>
      </c>
      <c r="Q1763" s="12"/>
      <c r="R1763" s="18" t="s">
        <v>6535</v>
      </c>
      <c r="S1763" s="12"/>
      <c r="T1763" s="12"/>
      <c r="U1763" s="10" t="str">
        <f>HYPERLINK("https://pbs.twimg.com/profile_images/1046717334080106496/F6GBUrBr.jpg","View")</f>
        <v>View</v>
      </c>
    </row>
    <row r="1764" spans="1:21" ht="40.799999999999997">
      <c r="A1764" s="6">
        <v>43426.799305555556</v>
      </c>
      <c r="B1764" s="7" t="str">
        <f>HYPERLINK("https://twitter.com/ecd_","@ecd_")</f>
        <v>@ecd_</v>
      </c>
      <c r="C1764" s="8" t="s">
        <v>2925</v>
      </c>
      <c r="D1764" s="9" t="s">
        <v>6536</v>
      </c>
      <c r="E1764" s="10" t="str">
        <f>HYPERLINK("https://twitter.com/ecd_/status/1065668989001572353","1065668989001572353")</f>
        <v>1065668989001572353</v>
      </c>
      <c r="F1764" s="11" t="s">
        <v>6537</v>
      </c>
      <c r="G1764" s="12"/>
      <c r="H1764" s="12"/>
      <c r="I1764" s="13">
        <v>2</v>
      </c>
      <c r="J1764" s="13">
        <v>2</v>
      </c>
      <c r="K1764" s="14" t="str">
        <f>HYPERLINK("http://dogtrack.es","DogTrack_Oficial")</f>
        <v>DogTrack_Oficial</v>
      </c>
      <c r="L1764" s="13">
        <v>88323</v>
      </c>
      <c r="M1764" s="13">
        <v>362</v>
      </c>
      <c r="N1764" s="13">
        <v>2646</v>
      </c>
      <c r="O1764" s="15"/>
      <c r="P1764" s="6">
        <v>39931.730115740742</v>
      </c>
      <c r="Q1764" s="28" t="s">
        <v>2929</v>
      </c>
      <c r="R1764" s="18" t="s">
        <v>2930</v>
      </c>
      <c r="S1764" s="11" t="s">
        <v>2931</v>
      </c>
      <c r="T1764" s="12"/>
      <c r="U1764" s="10" t="str">
        <f>HYPERLINK("https://pbs.twimg.com/profile_images/720595850238554113/Y8DGFyzZ.jpg","View")</f>
        <v>View</v>
      </c>
    </row>
    <row r="1765" spans="1:21" ht="20.399999999999999">
      <c r="A1765" s="6">
        <v>43426.798784722225</v>
      </c>
      <c r="B1765" s="7" t="str">
        <f>HYPERLINK("https://twitter.com/DeportivoAddict","@DeportivoAddict")</f>
        <v>@DeportivoAddict</v>
      </c>
      <c r="C1765" s="8" t="s">
        <v>6538</v>
      </c>
      <c r="D1765" s="9" t="s">
        <v>6539</v>
      </c>
      <c r="E1765" s="10" t="str">
        <f>HYPERLINK("https://twitter.com/DeportivoAddict/status/1065668798429216770","1065668798429216770")</f>
        <v>1065668798429216770</v>
      </c>
      <c r="F1765" s="11" t="s">
        <v>6540</v>
      </c>
      <c r="G1765" s="12"/>
      <c r="H1765" s="12"/>
      <c r="I1765" s="13">
        <v>0</v>
      </c>
      <c r="J1765" s="13">
        <v>0</v>
      </c>
      <c r="K1765" s="14" t="str">
        <f>HYPERLINK("http://www.futbol-addict.com/es/news/liga-santander/deportivo-la-coruna","CorunaAddict")</f>
        <v>CorunaAddict</v>
      </c>
      <c r="L1765" s="13">
        <v>640</v>
      </c>
      <c r="M1765" s="13">
        <v>588</v>
      </c>
      <c r="N1765" s="13">
        <v>4</v>
      </c>
      <c r="O1765" s="15"/>
      <c r="P1765" s="6">
        <v>42822.676238425927</v>
      </c>
      <c r="Q1765" s="17" t="s">
        <v>1970</v>
      </c>
      <c r="R1765" s="18" t="s">
        <v>6541</v>
      </c>
      <c r="S1765" s="11" t="s">
        <v>6542</v>
      </c>
      <c r="T1765" s="12"/>
      <c r="U1765" s="10" t="str">
        <f>HYPERLINK("https://pbs.twimg.com/profile_images/849608312974868480/UTmDn7gs.jpg","View")</f>
        <v>View</v>
      </c>
    </row>
    <row r="1766" spans="1:21" ht="40.799999999999997">
      <c r="A1766" s="6">
        <v>43426.798761574071</v>
      </c>
      <c r="B1766" s="7" t="str">
        <f>HYPERLINK("https://twitter.com/elpais_fem","@elpais_fem")</f>
        <v>@elpais_fem</v>
      </c>
      <c r="C1766" s="8" t="s">
        <v>6543</v>
      </c>
      <c r="D1766" s="9" t="s">
        <v>6544</v>
      </c>
      <c r="E1766" s="10" t="str">
        <f>HYPERLINK("https://twitter.com/elpais_fem/status/1065668792225796096","1065668792225796096")</f>
        <v>1065668792225796096</v>
      </c>
      <c r="F1766" s="11" t="s">
        <v>6545</v>
      </c>
      <c r="G1766" s="12"/>
      <c r="H1766" s="12"/>
      <c r="I1766" s="13">
        <v>3</v>
      </c>
      <c r="J1766" s="13">
        <v>6</v>
      </c>
      <c r="K1766" s="14" t="str">
        <f>HYPERLINK("https://www.hootsuite.com","Hootsuite Inc.")</f>
        <v>Hootsuite Inc.</v>
      </c>
      <c r="L1766" s="13">
        <v>15506</v>
      </c>
      <c r="M1766" s="13">
        <v>145</v>
      </c>
      <c r="N1766" s="13">
        <v>111</v>
      </c>
      <c r="O1766" s="15"/>
      <c r="P1766" s="6">
        <v>43374.750057870369</v>
      </c>
      <c r="Q1766" s="17" t="s">
        <v>141</v>
      </c>
      <c r="R1766" s="18" t="s">
        <v>6546</v>
      </c>
      <c r="S1766" s="11" t="s">
        <v>6547</v>
      </c>
      <c r="T1766" s="12"/>
      <c r="U1766" s="10" t="str">
        <f>HYPERLINK("https://pbs.twimg.com/profile_images/1046792334984335360/ETxkOAs_.jpg","View")</f>
        <v>View</v>
      </c>
    </row>
    <row r="1767" spans="1:21" ht="30.6">
      <c r="A1767" s="6">
        <v>43426.798657407402</v>
      </c>
      <c r="B1767" s="7" t="str">
        <f>HYPERLINK("https://twitter.com/libertaddigital","@libertaddigital")</f>
        <v>@libertaddigital</v>
      </c>
      <c r="C1767" s="8" t="s">
        <v>815</v>
      </c>
      <c r="D1767" s="9" t="s">
        <v>5723</v>
      </c>
      <c r="E1767" s="10" t="str">
        <f>HYPERLINK("https://twitter.com/libertaddigital/status/1065668753772298240","1065668753772298240")</f>
        <v>1065668753772298240</v>
      </c>
      <c r="F1767" s="11" t="s">
        <v>6549</v>
      </c>
      <c r="G1767" s="12"/>
      <c r="H1767" s="12"/>
      <c r="I1767" s="13">
        <v>68</v>
      </c>
      <c r="J1767" s="13">
        <v>37</v>
      </c>
      <c r="K1767" s="14" t="str">
        <f>HYPERLINK("https://dlvrit.com/","dlvr.it")</f>
        <v>dlvr.it</v>
      </c>
      <c r="L1767" s="13">
        <v>124375</v>
      </c>
      <c r="M1767" s="13">
        <v>563</v>
      </c>
      <c r="N1767" s="13">
        <v>2364</v>
      </c>
      <c r="O1767" s="16" t="s">
        <v>26</v>
      </c>
      <c r="P1767" s="6">
        <v>39899.727141203708</v>
      </c>
      <c r="Q1767" s="17" t="s">
        <v>72</v>
      </c>
      <c r="R1767" s="18" t="s">
        <v>818</v>
      </c>
      <c r="S1767" s="11" t="s">
        <v>819</v>
      </c>
      <c r="T1767" s="12"/>
      <c r="U1767" s="10" t="str">
        <f>HYPERLINK("https://pbs.twimg.com/profile_images/913700935603499008/ifTjXKGZ.jpg","View")</f>
        <v>View</v>
      </c>
    </row>
    <row r="1768" spans="1:21" ht="30.6">
      <c r="A1768" s="6">
        <v>43426.798333333332</v>
      </c>
      <c r="B1768" s="7" t="str">
        <f>HYPERLINK("https://twitter.com/Salicornia16","@Salicornia16")</f>
        <v>@Salicornia16</v>
      </c>
      <c r="C1768" s="8" t="s">
        <v>370</v>
      </c>
      <c r="D1768" s="9" t="s">
        <v>6550</v>
      </c>
      <c r="E1768" s="10" t="str">
        <f>HYPERLINK("https://twitter.com/Salicornia16/status/1065668634318708737","1065668634318708737")</f>
        <v>1065668634318708737</v>
      </c>
      <c r="F1768" s="11" t="s">
        <v>641</v>
      </c>
      <c r="G1768" s="12"/>
      <c r="H1768" s="12"/>
      <c r="I1768" s="13">
        <v>0</v>
      </c>
      <c r="J1768" s="13">
        <v>0</v>
      </c>
      <c r="K1768" s="14" t="str">
        <f>HYPERLINK("http://twitter.com/download/iphone","Twitter for iPhone")</f>
        <v>Twitter for iPhone</v>
      </c>
      <c r="L1768" s="13">
        <v>30</v>
      </c>
      <c r="M1768" s="13">
        <v>218</v>
      </c>
      <c r="N1768" s="13">
        <v>0</v>
      </c>
      <c r="O1768" s="15"/>
      <c r="P1768" s="6">
        <v>42394.618310185186</v>
      </c>
      <c r="Q1768" s="12"/>
      <c r="R1768" s="19"/>
      <c r="S1768" s="12"/>
      <c r="T1768" s="12"/>
      <c r="U1768" s="16" t="s">
        <v>373</v>
      </c>
    </row>
    <row r="1769" spans="1:21" ht="20.399999999999999">
      <c r="A1769" s="6">
        <v>43426.796828703707</v>
      </c>
      <c r="B1769" s="7" t="str">
        <f>HYPERLINK("https://twitter.com/mjoselavoz","@mjoselavoz")</f>
        <v>@mjoselavoz</v>
      </c>
      <c r="C1769" s="8" t="s">
        <v>1406</v>
      </c>
      <c r="D1769" s="9" t="s">
        <v>1143</v>
      </c>
      <c r="E1769" s="10" t="str">
        <f>HYPERLINK("https://twitter.com/mjoselavoz/status/1065668088690065409","1065668088690065409")</f>
        <v>1065668088690065409</v>
      </c>
      <c r="F1769" s="11" t="s">
        <v>6551</v>
      </c>
      <c r="G1769" s="12"/>
      <c r="H1769" s="12"/>
      <c r="I1769" s="13">
        <v>0</v>
      </c>
      <c r="J1769" s="13">
        <v>0</v>
      </c>
      <c r="K1769" s="14" t="str">
        <f t="shared" ref="K1769:K1770" si="284">HYPERLINK("http://twitter.com","Twitter Web Client")</f>
        <v>Twitter Web Client</v>
      </c>
      <c r="L1769" s="13">
        <v>14</v>
      </c>
      <c r="M1769" s="13">
        <v>45</v>
      </c>
      <c r="N1769" s="13">
        <v>0</v>
      </c>
      <c r="O1769" s="15"/>
      <c r="P1769" s="6">
        <v>43360.740937499999</v>
      </c>
      <c r="Q1769" s="12"/>
      <c r="R1769" s="19"/>
      <c r="S1769" s="12"/>
      <c r="T1769" s="12"/>
      <c r="U1769" s="10" t="str">
        <f>HYPERLINK("https://pbs.twimg.com/profile_images/1050770379965440000/rBRDNC_J.jpg","View")</f>
        <v>View</v>
      </c>
    </row>
    <row r="1770" spans="1:21" ht="30.6">
      <c r="A1770" s="6">
        <v>43426.796446759261</v>
      </c>
      <c r="B1770" s="7" t="str">
        <f>HYPERLINK("https://twitter.com/LVetrinbajo","@LVetrinbajo")</f>
        <v>@LVetrinbajo</v>
      </c>
      <c r="C1770" s="8" t="s">
        <v>4545</v>
      </c>
      <c r="D1770" s="9" t="s">
        <v>5933</v>
      </c>
      <c r="E1770" s="10" t="str">
        <f>HYPERLINK("https://twitter.com/LVetrinbajo/status/1065667953306275840","1065667953306275840")</f>
        <v>1065667953306275840</v>
      </c>
      <c r="F1770" s="11" t="s">
        <v>6552</v>
      </c>
      <c r="G1770" s="12"/>
      <c r="H1770" s="12"/>
      <c r="I1770" s="13">
        <v>0</v>
      </c>
      <c r="J1770" s="13">
        <v>0</v>
      </c>
      <c r="K1770" s="14" t="str">
        <f t="shared" si="284"/>
        <v>Twitter Web Client</v>
      </c>
      <c r="L1770" s="13">
        <v>830</v>
      </c>
      <c r="M1770" s="13">
        <v>1867</v>
      </c>
      <c r="N1770" s="13">
        <v>7</v>
      </c>
      <c r="O1770" s="15"/>
      <c r="P1770" s="6">
        <v>43091.966851851852</v>
      </c>
      <c r="Q1770" s="17" t="s">
        <v>6553</v>
      </c>
      <c r="R1770" s="18" t="s">
        <v>6554</v>
      </c>
      <c r="S1770" s="12"/>
      <c r="T1770" s="12"/>
      <c r="U1770" s="10" t="str">
        <f>HYPERLINK("https://pbs.twimg.com/profile_images/1002927443542528001/Ye4GwF3U.jpg","View")</f>
        <v>View</v>
      </c>
    </row>
    <row r="1771" spans="1:21" ht="40.799999999999997">
      <c r="A1771" s="6">
        <v>43426.796006944445</v>
      </c>
      <c r="B1771" s="7" t="str">
        <f>HYPERLINK("https://twitter.com/Zibelinam","@Zibelinam")</f>
        <v>@Zibelinam</v>
      </c>
      <c r="C1771" s="8" t="s">
        <v>42</v>
      </c>
      <c r="D1771" s="9" t="s">
        <v>5475</v>
      </c>
      <c r="E1771" s="10" t="str">
        <f>HYPERLINK("https://twitter.com/Zibelinam/status/1065667793234870274","1065667793234870274")</f>
        <v>1065667793234870274</v>
      </c>
      <c r="F1771" s="11" t="s">
        <v>5476</v>
      </c>
      <c r="G1771" s="12"/>
      <c r="H1771" s="12"/>
      <c r="I1771" s="13">
        <v>0</v>
      </c>
      <c r="J1771" s="13">
        <v>0</v>
      </c>
      <c r="K1771" s="14" t="str">
        <f t="shared" ref="K1771:K1772" si="285">HYPERLINK("http://twitter.com/download/iphone","Twitter for iPhone")</f>
        <v>Twitter for iPhone</v>
      </c>
      <c r="L1771" s="13">
        <v>4089</v>
      </c>
      <c r="M1771" s="13">
        <v>4008</v>
      </c>
      <c r="N1771" s="13">
        <v>19</v>
      </c>
      <c r="O1771" s="15"/>
      <c r="P1771" s="6">
        <v>41405.65353009259</v>
      </c>
      <c r="Q1771" s="17" t="s">
        <v>47</v>
      </c>
      <c r="R1771" s="18" t="s">
        <v>48</v>
      </c>
      <c r="S1771" s="12"/>
      <c r="T1771" s="12"/>
      <c r="U1771" s="10" t="str">
        <f>HYPERLINK("https://pbs.twimg.com/profile_images/929426502416027649/07tvgMQf.jpg","View")</f>
        <v>View</v>
      </c>
    </row>
    <row r="1772" spans="1:21" ht="20.399999999999999">
      <c r="A1772" s="6">
        <v>43426.795601851853</v>
      </c>
      <c r="B1772" s="7" t="str">
        <f>HYPERLINK("https://twitter.com/elolivarero","@elolivarero")</f>
        <v>@elolivarero</v>
      </c>
      <c r="C1772" s="8" t="s">
        <v>1086</v>
      </c>
      <c r="D1772" s="9" t="s">
        <v>6555</v>
      </c>
      <c r="E1772" s="10" t="str">
        <f>HYPERLINK("https://twitter.com/elolivarero/status/1065667646950203392","1065667646950203392")</f>
        <v>1065667646950203392</v>
      </c>
      <c r="F1772" s="12"/>
      <c r="G1772" s="12"/>
      <c r="H1772" s="12"/>
      <c r="I1772" s="13">
        <v>0</v>
      </c>
      <c r="J1772" s="13">
        <v>0</v>
      </c>
      <c r="K1772" s="14" t="str">
        <f t="shared" si="285"/>
        <v>Twitter for iPhone</v>
      </c>
      <c r="L1772" s="13">
        <v>7</v>
      </c>
      <c r="M1772" s="13">
        <v>89</v>
      </c>
      <c r="N1772" s="13">
        <v>0</v>
      </c>
      <c r="O1772" s="15"/>
      <c r="P1772" s="6">
        <v>42748.773865740739</v>
      </c>
      <c r="Q1772" s="12"/>
      <c r="R1772" s="19"/>
      <c r="S1772" s="12"/>
      <c r="T1772" s="12"/>
      <c r="U1772" s="16" t="s">
        <v>373</v>
      </c>
    </row>
    <row r="1773" spans="1:21" ht="20.399999999999999">
      <c r="A1773" s="6">
        <v>43426.795555555553</v>
      </c>
      <c r="B1773" s="7" t="str">
        <f>HYPERLINK("https://twitter.com/fmembrilla","@fmembrilla")</f>
        <v>@fmembrilla</v>
      </c>
      <c r="C1773" s="8" t="s">
        <v>6556</v>
      </c>
      <c r="D1773" s="9" t="s">
        <v>5933</v>
      </c>
      <c r="E1773" s="10" t="str">
        <f>HYPERLINK("https://twitter.com/fmembrilla/status/1065667628205666304","1065667628205666304")</f>
        <v>1065667628205666304</v>
      </c>
      <c r="F1773" s="11" t="s">
        <v>6557</v>
      </c>
      <c r="G1773" s="12"/>
      <c r="H1773" s="12"/>
      <c r="I1773" s="13">
        <v>0</v>
      </c>
      <c r="J1773" s="13">
        <v>0</v>
      </c>
      <c r="K1773" s="14" t="str">
        <f>HYPERLINK("http://www.facebook.com/twitter","Facebook")</f>
        <v>Facebook</v>
      </c>
      <c r="L1773" s="13">
        <v>1091</v>
      </c>
      <c r="M1773" s="13">
        <v>2064</v>
      </c>
      <c r="N1773" s="13">
        <v>14</v>
      </c>
      <c r="O1773" s="15"/>
      <c r="P1773" s="6">
        <v>41249.590601851851</v>
      </c>
      <c r="Q1773" s="17" t="s">
        <v>2053</v>
      </c>
      <c r="R1773" s="18" t="s">
        <v>6558</v>
      </c>
      <c r="S1773" s="12"/>
      <c r="T1773" s="12"/>
      <c r="U1773" s="10" t="str">
        <f>HYPERLINK("https://pbs.twimg.com/profile_images/3767830775/2bd8dcbb3b8ab6c20c8e4a0301556b19.jpeg","View")</f>
        <v>View</v>
      </c>
    </row>
    <row r="1774" spans="1:21" ht="20.399999999999999">
      <c r="A1774" s="6">
        <v>43426.794976851852</v>
      </c>
      <c r="B1774" s="7" t="str">
        <f>HYPERLINK("https://twitter.com/amigo_pili","@amigo_pili")</f>
        <v>@amigo_pili</v>
      </c>
      <c r="C1774" s="8" t="s">
        <v>6559</v>
      </c>
      <c r="D1774" s="9" t="s">
        <v>6560</v>
      </c>
      <c r="E1774" s="10" t="str">
        <f>HYPERLINK("https://twitter.com/amigo_pili/status/1065667420877139970","1065667420877139970")</f>
        <v>1065667420877139970</v>
      </c>
      <c r="F1774" s="11" t="s">
        <v>641</v>
      </c>
      <c r="G1774" s="12"/>
      <c r="H1774" s="12"/>
      <c r="I1774" s="13">
        <v>0</v>
      </c>
      <c r="J1774" s="13">
        <v>0</v>
      </c>
      <c r="K1774" s="14" t="str">
        <f>HYPERLINK("http://twitter.com/download/android","Twitter for Android")</f>
        <v>Twitter for Android</v>
      </c>
      <c r="L1774" s="13">
        <v>46</v>
      </c>
      <c r="M1774" s="13">
        <v>46</v>
      </c>
      <c r="N1774" s="13">
        <v>0</v>
      </c>
      <c r="O1774" s="15"/>
      <c r="P1774" s="6">
        <v>40858.733217592591</v>
      </c>
      <c r="Q1774" s="12"/>
      <c r="R1774" s="19"/>
      <c r="S1774" s="12"/>
      <c r="T1774" s="12"/>
      <c r="U1774" s="10" t="str">
        <f>HYPERLINK("https://pbs.twimg.com/profile_images/988468092299829255/dIB_j8QE.jpg","View")</f>
        <v>View</v>
      </c>
    </row>
    <row r="1775" spans="1:21" ht="40.799999999999997">
      <c r="A1775" s="6">
        <v>43426.794050925921</v>
      </c>
      <c r="B1775" s="7" t="str">
        <f>HYPERLINK("https://twitter.com/Peregrina7Bu","@Peregrina7Bu")</f>
        <v>@Peregrina7Bu</v>
      </c>
      <c r="C1775" s="8" t="s">
        <v>6564</v>
      </c>
      <c r="D1775" s="9" t="s">
        <v>4527</v>
      </c>
      <c r="E1775" s="10" t="str">
        <f>HYPERLINK("https://twitter.com/Peregrina7Bu/status/1065667083780923393","1065667083780923393")</f>
        <v>1065667083780923393</v>
      </c>
      <c r="F1775" s="11" t="s">
        <v>4528</v>
      </c>
      <c r="G1775" s="12"/>
      <c r="H1775" s="12"/>
      <c r="I1775" s="13">
        <v>0</v>
      </c>
      <c r="J1775" s="13">
        <v>0</v>
      </c>
      <c r="K1775" s="14" t="str">
        <f t="shared" ref="K1775:K1776" si="286">HYPERLINK("http://twitter.com","Twitter Web Client")</f>
        <v>Twitter Web Client</v>
      </c>
      <c r="L1775" s="13">
        <v>126</v>
      </c>
      <c r="M1775" s="13">
        <v>296</v>
      </c>
      <c r="N1775" s="13">
        <v>16</v>
      </c>
      <c r="O1775" s="15"/>
      <c r="P1775" s="6">
        <v>42559.002175925925</v>
      </c>
      <c r="Q1775" s="12"/>
      <c r="R1775" s="18" t="s">
        <v>6565</v>
      </c>
      <c r="S1775" s="12"/>
      <c r="T1775" s="12"/>
      <c r="U1775" s="10" t="str">
        <f>HYPERLINK("https://pbs.twimg.com/profile_images/956673765663965184/onrgyj7Z.jpg","View")</f>
        <v>View</v>
      </c>
    </row>
    <row r="1776" spans="1:21" ht="20.399999999999999">
      <c r="A1776" s="6">
        <v>43426.793090277773</v>
      </c>
      <c r="B1776" s="7" t="str">
        <f>HYPERLINK("https://twitter.com/LordOscuro666","@LordOscuro666")</f>
        <v>@LordOscuro666</v>
      </c>
      <c r="C1776" s="8" t="s">
        <v>6566</v>
      </c>
      <c r="D1776" s="9" t="s">
        <v>6567</v>
      </c>
      <c r="E1776" s="10" t="str">
        <f>HYPERLINK("https://twitter.com/LordOscuro666/status/1065666735133655040","1065666735133655040")</f>
        <v>1065666735133655040</v>
      </c>
      <c r="F1776" s="11" t="s">
        <v>6568</v>
      </c>
      <c r="G1776" s="12"/>
      <c r="H1776" s="12"/>
      <c r="I1776" s="13">
        <v>0</v>
      </c>
      <c r="J1776" s="13">
        <v>0</v>
      </c>
      <c r="K1776" s="14" t="str">
        <f t="shared" si="286"/>
        <v>Twitter Web Client</v>
      </c>
      <c r="L1776" s="13">
        <v>104</v>
      </c>
      <c r="M1776" s="13">
        <v>1121</v>
      </c>
      <c r="N1776" s="13">
        <v>1</v>
      </c>
      <c r="O1776" s="15"/>
      <c r="P1776" s="6">
        <v>41033.71711805556</v>
      </c>
      <c r="Q1776" s="17" t="s">
        <v>1096</v>
      </c>
      <c r="R1776" s="19"/>
      <c r="S1776" s="12"/>
      <c r="T1776" s="12"/>
      <c r="U1776" s="10" t="str">
        <f>HYPERLINK("https://pbs.twimg.com/profile_images/918170727781752833/YqsluHnp.jpg","View")</f>
        <v>View</v>
      </c>
    </row>
    <row r="1777" spans="1:21" ht="30.6">
      <c r="A1777" s="6">
        <v>43426.792615740742</v>
      </c>
      <c r="B1777" s="7" t="str">
        <f>HYPERLINK("https://twitter.com/pacoluisj","@pacoluisj")</f>
        <v>@pacoluisj</v>
      </c>
      <c r="C1777" s="8" t="s">
        <v>6145</v>
      </c>
      <c r="D1777" s="9" t="s">
        <v>6569</v>
      </c>
      <c r="E1777" s="10" t="str">
        <f>HYPERLINK("https://twitter.com/pacoluisj/status/1065666565008490504","1065666565008490504")</f>
        <v>1065666565008490504</v>
      </c>
      <c r="F1777" s="12"/>
      <c r="G1777" s="11" t="s">
        <v>6570</v>
      </c>
      <c r="H1777" s="12"/>
      <c r="I1777" s="13">
        <v>11</v>
      </c>
      <c r="J1777" s="13">
        <v>7</v>
      </c>
      <c r="K1777" s="14" t="str">
        <f>HYPERLINK("http://twitter.com/download/android","Twitter for Android")</f>
        <v>Twitter for Android</v>
      </c>
      <c r="L1777" s="13">
        <v>5127</v>
      </c>
      <c r="M1777" s="13">
        <v>5147</v>
      </c>
      <c r="N1777" s="13">
        <v>33</v>
      </c>
      <c r="O1777" s="15"/>
      <c r="P1777" s="6">
        <v>40259.792893518519</v>
      </c>
      <c r="Q1777" s="17" t="s">
        <v>28</v>
      </c>
      <c r="R1777" s="18" t="s">
        <v>6147</v>
      </c>
      <c r="S1777" s="12"/>
      <c r="T1777" s="12"/>
      <c r="U1777" s="10" t="str">
        <f>HYPERLINK("https://pbs.twimg.com/profile_images/978195787904634880/xKXdKqVW.jpg","View")</f>
        <v>View</v>
      </c>
    </row>
    <row r="1778" spans="1:21" ht="40.799999999999997">
      <c r="A1778" s="6">
        <v>43426.792303240742</v>
      </c>
      <c r="B1778" s="7" t="str">
        <f>HYPERLINK("https://twitter.com/Multayuda","@Multayuda")</f>
        <v>@Multayuda</v>
      </c>
      <c r="C1778" s="8" t="s">
        <v>6571</v>
      </c>
      <c r="D1778" s="9" t="s">
        <v>6572</v>
      </c>
      <c r="E1778" s="10" t="str">
        <f>HYPERLINK("https://twitter.com/Multayuda/status/1065666451665752064","1065666451665752064")</f>
        <v>1065666451665752064</v>
      </c>
      <c r="F1778" s="11" t="s">
        <v>6573</v>
      </c>
      <c r="G1778" s="12"/>
      <c r="H1778" s="12"/>
      <c r="I1778" s="13">
        <v>0</v>
      </c>
      <c r="J1778" s="13">
        <v>0</v>
      </c>
      <c r="K1778" s="14" t="str">
        <f>HYPERLINK("https://www.hootsuite.com","Hootsuite Inc.")</f>
        <v>Hootsuite Inc.</v>
      </c>
      <c r="L1778" s="13">
        <v>1634</v>
      </c>
      <c r="M1778" s="13">
        <v>1088</v>
      </c>
      <c r="N1778" s="13">
        <v>69</v>
      </c>
      <c r="O1778" s="15"/>
      <c r="P1778" s="6">
        <v>40248.654097222221</v>
      </c>
      <c r="Q1778" s="17" t="s">
        <v>28</v>
      </c>
      <c r="R1778" s="18" t="s">
        <v>6574</v>
      </c>
      <c r="S1778" s="11" t="s">
        <v>6575</v>
      </c>
      <c r="T1778" s="12"/>
      <c r="U1778" s="10" t="str">
        <f>HYPERLINK("https://pbs.twimg.com/profile_images/651302219208200192/59QYg6gF.png","View")</f>
        <v>View</v>
      </c>
    </row>
    <row r="1779" spans="1:21" ht="40.799999999999997">
      <c r="A1779" s="6">
        <v>43426.792175925926</v>
      </c>
      <c r="B1779" s="7" t="str">
        <f>HYPERLINK("https://twitter.com/pollastret","@pollastret")</f>
        <v>@pollastret</v>
      </c>
      <c r="C1779" s="8" t="s">
        <v>6576</v>
      </c>
      <c r="D1779" s="9" t="s">
        <v>6577</v>
      </c>
      <c r="E1779" s="10" t="str">
        <f>HYPERLINK("https://twitter.com/pollastret/status/1065666402537930752","1065666402537930752")</f>
        <v>1065666402537930752</v>
      </c>
      <c r="F1779" s="11" t="s">
        <v>6578</v>
      </c>
      <c r="G1779" s="12"/>
      <c r="H1779" s="12"/>
      <c r="I1779" s="13">
        <v>0</v>
      </c>
      <c r="J1779" s="13">
        <v>0</v>
      </c>
      <c r="K1779" s="14" t="str">
        <f>HYPERLINK("http://twitter.com","TalonFoss")</f>
        <v>TalonFoss</v>
      </c>
      <c r="L1779" s="13">
        <v>906</v>
      </c>
      <c r="M1779" s="13">
        <v>365</v>
      </c>
      <c r="N1779" s="13">
        <v>74</v>
      </c>
      <c r="O1779" s="15"/>
      <c r="P1779" s="6">
        <v>40687.948576388888</v>
      </c>
      <c r="Q1779" s="12"/>
      <c r="R1779" s="18" t="s">
        <v>6579</v>
      </c>
      <c r="S1779" s="12"/>
      <c r="T1779" s="12"/>
      <c r="U1779" s="10" t="str">
        <f>HYPERLINK("https://pbs.twimg.com/profile_images/1020189600764055552/LAB2RPUy.jpg","View")</f>
        <v>View</v>
      </c>
    </row>
    <row r="1780" spans="1:21" ht="40.799999999999997">
      <c r="A1780" s="6">
        <v>43426.791979166665</v>
      </c>
      <c r="B1780" s="7" t="str">
        <f>HYPERLINK("https://twitter.com/riazororg","@riazororg")</f>
        <v>@riazororg</v>
      </c>
      <c r="C1780" s="20" t="s">
        <v>6580</v>
      </c>
      <c r="D1780" s="9" t="s">
        <v>6581</v>
      </c>
      <c r="E1780" s="10" t="str">
        <f>HYPERLINK("https://twitter.com/riazororg/status/1065666333541629952","1065666333541629952")</f>
        <v>1065666333541629952</v>
      </c>
      <c r="F1780" s="11" t="s">
        <v>6582</v>
      </c>
      <c r="G1780" s="11" t="s">
        <v>6583</v>
      </c>
      <c r="H1780" s="12"/>
      <c r="I1780" s="13">
        <v>3</v>
      </c>
      <c r="J1780" s="13">
        <v>6</v>
      </c>
      <c r="K1780" s="14" t="str">
        <f>HYPERLINK("http://www.riazor.org","Nextscripts Riazor")</f>
        <v>Nextscripts Riazor</v>
      </c>
      <c r="L1780" s="13">
        <v>54297</v>
      </c>
      <c r="M1780" s="13">
        <v>755</v>
      </c>
      <c r="N1780" s="13">
        <v>408</v>
      </c>
      <c r="O1780" s="15"/>
      <c r="P1780" s="6">
        <v>40245.825752314813</v>
      </c>
      <c r="Q1780" s="17" t="s">
        <v>2613</v>
      </c>
      <c r="R1780" s="18" t="s">
        <v>6584</v>
      </c>
      <c r="S1780" s="11" t="s">
        <v>6585</v>
      </c>
      <c r="T1780" s="12"/>
      <c r="U1780" s="10" t="str">
        <f>HYPERLINK("https://pbs.twimg.com/profile_images/1053552584047378432/w9Wo1hSB.jpg","View")</f>
        <v>View</v>
      </c>
    </row>
    <row r="1781" spans="1:21" ht="51">
      <c r="A1781" s="6">
        <v>43426.791678240741</v>
      </c>
      <c r="B1781" s="7" t="str">
        <f>HYPERLINK("https://twitter.com/trabajadorescu","@trabajadorescu")</f>
        <v>@trabajadorescu</v>
      </c>
      <c r="C1781" s="20" t="s">
        <v>1203</v>
      </c>
      <c r="D1781" s="9" t="s">
        <v>6586</v>
      </c>
      <c r="E1781" s="10" t="str">
        <f>HYPERLINK("https://twitter.com/trabajadorescu/status/1065666221582966785","1065666221582966785")</f>
        <v>1065666221582966785</v>
      </c>
      <c r="F1781" s="12"/>
      <c r="G1781" s="11" t="s">
        <v>6587</v>
      </c>
      <c r="H1781" s="12"/>
      <c r="I1781" s="13">
        <v>3</v>
      </c>
      <c r="J1781" s="13">
        <v>3</v>
      </c>
      <c r="K1781" s="14" t="str">
        <f>HYPERLINK("https://about.twitter.com/products/tweetdeck","TweetDeck")</f>
        <v>TweetDeck</v>
      </c>
      <c r="L1781" s="13">
        <v>9838</v>
      </c>
      <c r="M1781" s="13">
        <v>272</v>
      </c>
      <c r="N1781" s="13">
        <v>151</v>
      </c>
      <c r="O1781" s="15"/>
      <c r="P1781" s="6">
        <v>40304.712233796294</v>
      </c>
      <c r="Q1781" s="17" t="s">
        <v>52</v>
      </c>
      <c r="R1781" s="18" t="s">
        <v>1206</v>
      </c>
      <c r="S1781" s="11" t="s">
        <v>1207</v>
      </c>
      <c r="T1781" s="12"/>
      <c r="U1781" s="10" t="str">
        <f>HYPERLINK("https://pbs.twimg.com/profile_images/986694080213037056/J0pt8JjI.jpg","View")</f>
        <v>View</v>
      </c>
    </row>
    <row r="1782" spans="1:21" ht="30.6">
      <c r="A1782" s="6">
        <v>43426.790543981479</v>
      </c>
      <c r="B1782" s="7" t="str">
        <f>HYPERLINK("https://twitter.com/Josegonsan","@Josegonsan")</f>
        <v>@Josegonsan</v>
      </c>
      <c r="C1782" s="8" t="s">
        <v>6588</v>
      </c>
      <c r="D1782" s="9" t="s">
        <v>6589</v>
      </c>
      <c r="E1782" s="10" t="str">
        <f>HYPERLINK("https://twitter.com/Josegonsan/status/1065665811346571266","1065665811346571266")</f>
        <v>1065665811346571266</v>
      </c>
      <c r="F1782" s="12"/>
      <c r="G1782" s="12"/>
      <c r="H1782" s="12"/>
      <c r="I1782" s="13">
        <v>0</v>
      </c>
      <c r="J1782" s="13">
        <v>0</v>
      </c>
      <c r="K1782" s="14" t="str">
        <f>HYPERLINK("http://twitter.com/download/android","Twitter for Android")</f>
        <v>Twitter for Android</v>
      </c>
      <c r="L1782" s="13">
        <v>23</v>
      </c>
      <c r="M1782" s="13">
        <v>117</v>
      </c>
      <c r="N1782" s="13">
        <v>0</v>
      </c>
      <c r="O1782" s="15"/>
      <c r="P1782" s="6">
        <v>42171.603854166664</v>
      </c>
      <c r="Q1782" s="17" t="s">
        <v>6590</v>
      </c>
      <c r="R1782" s="19"/>
      <c r="S1782" s="12"/>
      <c r="T1782" s="12"/>
      <c r="U1782" s="10" t="str">
        <f>HYPERLINK("https://pbs.twimg.com/profile_images/613410644201721857/9uDgGBog.jpg","View")</f>
        <v>View</v>
      </c>
    </row>
    <row r="1783" spans="1:21" ht="30.6">
      <c r="A1783" s="6">
        <v>43426.790451388893</v>
      </c>
      <c r="B1783" s="7" t="str">
        <f>HYPERLINK("https://twitter.com/Cubamaintenant","@Cubamaintenant")</f>
        <v>@Cubamaintenant</v>
      </c>
      <c r="C1783" s="8" t="s">
        <v>6591</v>
      </c>
      <c r="D1783" s="9" t="s">
        <v>6592</v>
      </c>
      <c r="E1783" s="10" t="str">
        <f>HYPERLINK("https://twitter.com/Cubamaintenant/status/1065665778240884736","1065665778240884736")</f>
        <v>1065665778240884736</v>
      </c>
      <c r="F1783" s="11" t="s">
        <v>6593</v>
      </c>
      <c r="G1783" s="11" t="s">
        <v>6594</v>
      </c>
      <c r="H1783" s="12"/>
      <c r="I1783" s="13">
        <v>0</v>
      </c>
      <c r="J1783" s="13">
        <v>0</v>
      </c>
      <c r="K1783" s="14" t="str">
        <f>HYPERLINK("http://publicize.wp.com/","WordPress.com")</f>
        <v>WordPress.com</v>
      </c>
      <c r="L1783" s="13">
        <v>1034</v>
      </c>
      <c r="M1783" s="13">
        <v>2482</v>
      </c>
      <c r="N1783" s="13">
        <v>6</v>
      </c>
      <c r="O1783" s="15"/>
      <c r="P1783" s="6">
        <v>41356.881157407406</v>
      </c>
      <c r="Q1783" s="17" t="s">
        <v>6595</v>
      </c>
      <c r="R1783" s="18" t="s">
        <v>6596</v>
      </c>
      <c r="S1783" s="11" t="s">
        <v>6597</v>
      </c>
      <c r="T1783" s="12"/>
      <c r="U1783" s="10" t="str">
        <f>HYPERLINK("https://pbs.twimg.com/profile_images/814906329995296768/PvCqBV5c.jpg","View")</f>
        <v>View</v>
      </c>
    </row>
    <row r="1784" spans="1:21" ht="20.399999999999999">
      <c r="A1784" s="6">
        <v>43426.790034722224</v>
      </c>
      <c r="B1784" s="7" t="str">
        <f>HYPERLINK("https://twitter.com/lademajagua","@lademajagua")</f>
        <v>@lademajagua</v>
      </c>
      <c r="C1784" s="8" t="s">
        <v>6598</v>
      </c>
      <c r="D1784" s="9" t="s">
        <v>6599</v>
      </c>
      <c r="E1784" s="10" t="str">
        <f>HYPERLINK("https://twitter.com/lademajagua/status/1065665628613287942","1065665628613287942")</f>
        <v>1065665628613287942</v>
      </c>
      <c r="F1784" s="11" t="s">
        <v>6600</v>
      </c>
      <c r="G1784" s="12"/>
      <c r="H1784" s="12"/>
      <c r="I1784" s="13">
        <v>0</v>
      </c>
      <c r="J1784" s="13">
        <v>0</v>
      </c>
      <c r="K1784" s="14" t="str">
        <f>HYPERLINK("http://www.facebook.com/twitter","Facebook")</f>
        <v>Facebook</v>
      </c>
      <c r="L1784" s="13">
        <v>2235</v>
      </c>
      <c r="M1784" s="13">
        <v>1098</v>
      </c>
      <c r="N1784" s="13">
        <v>60</v>
      </c>
      <c r="O1784" s="15"/>
      <c r="P1784" s="6">
        <v>40126.664166666669</v>
      </c>
      <c r="Q1784" s="17" t="s">
        <v>40</v>
      </c>
      <c r="R1784" s="18" t="s">
        <v>6601</v>
      </c>
      <c r="S1784" s="11" t="s">
        <v>6602</v>
      </c>
      <c r="T1784" s="12"/>
      <c r="U1784" s="10" t="str">
        <f>HYPERLINK("https://pbs.twimg.com/profile_images/378800000774561612/cb85a2c1c69dc0dd4e66b7ff5612e56e.jpeg","View")</f>
        <v>View</v>
      </c>
    </row>
    <row r="1785" spans="1:21" ht="20.399999999999999">
      <c r="A1785" s="6">
        <v>43426.79</v>
      </c>
      <c r="B1785" s="7" t="str">
        <f>HYPERLINK("https://twitter.com/AntGainos","@AntGainos")</f>
        <v>@AntGainos</v>
      </c>
      <c r="C1785" s="8" t="s">
        <v>1086</v>
      </c>
      <c r="D1785" s="9" t="s">
        <v>6603</v>
      </c>
      <c r="E1785" s="10" t="str">
        <f>HYPERLINK("https://twitter.com/AntGainos/status/1065665613874585600","1065665613874585600")</f>
        <v>1065665613874585600</v>
      </c>
      <c r="F1785" s="11" t="s">
        <v>6604</v>
      </c>
      <c r="G1785" s="12"/>
      <c r="H1785" s="12"/>
      <c r="I1785" s="13">
        <v>0</v>
      </c>
      <c r="J1785" s="13">
        <v>0</v>
      </c>
      <c r="K1785" s="14" t="str">
        <f>HYPERLINK("http://twitter.com","Twitter Web Client")</f>
        <v>Twitter Web Client</v>
      </c>
      <c r="L1785" s="13">
        <v>547</v>
      </c>
      <c r="M1785" s="13">
        <v>553</v>
      </c>
      <c r="N1785" s="13">
        <v>9</v>
      </c>
      <c r="O1785" s="15"/>
      <c r="P1785" s="6">
        <v>40643.846689814818</v>
      </c>
      <c r="Q1785" s="17" t="s">
        <v>1089</v>
      </c>
      <c r="R1785" s="19"/>
      <c r="S1785" s="12"/>
      <c r="T1785" s="12"/>
      <c r="U1785" s="10" t="str">
        <f>HYPERLINK("https://pbs.twimg.com/profile_images/1034402549011542016/iBP_Fz3r.jpg","View")</f>
        <v>View</v>
      </c>
    </row>
    <row r="1786" spans="1:21" ht="40.799999999999997">
      <c r="A1786" s="6">
        <v>43426.78979166667</v>
      </c>
      <c r="B1786" s="7" t="str">
        <f>HYPERLINK("https://twitter.com/Gloria_AP41","@Gloria_AP41")</f>
        <v>@Gloria_AP41</v>
      </c>
      <c r="C1786" s="8" t="s">
        <v>6605</v>
      </c>
      <c r="D1786" s="9" t="s">
        <v>6606</v>
      </c>
      <c r="E1786" s="10" t="str">
        <f>HYPERLINK("https://twitter.com/Gloria_AP41/status/1065665541552132096","1065665541552132096")</f>
        <v>1065665541552132096</v>
      </c>
      <c r="F1786" s="11" t="s">
        <v>641</v>
      </c>
      <c r="G1786" s="12"/>
      <c r="H1786" s="12"/>
      <c r="I1786" s="13">
        <v>0</v>
      </c>
      <c r="J1786" s="13">
        <v>0</v>
      </c>
      <c r="K1786" s="14" t="str">
        <f>HYPERLINK("http://twitter.com/download/android","Twitter for Android")</f>
        <v>Twitter for Android</v>
      </c>
      <c r="L1786" s="13">
        <v>317</v>
      </c>
      <c r="M1786" s="13">
        <v>507</v>
      </c>
      <c r="N1786" s="13">
        <v>2</v>
      </c>
      <c r="O1786" s="15"/>
      <c r="P1786" s="6">
        <v>42848.834351851852</v>
      </c>
      <c r="Q1786" s="17" t="s">
        <v>1258</v>
      </c>
      <c r="R1786" s="18" t="s">
        <v>6607</v>
      </c>
      <c r="S1786" s="12"/>
      <c r="T1786" s="12"/>
      <c r="U1786" s="10" t="str">
        <f>HYPERLINK("https://pbs.twimg.com/profile_images/1053310646446624768/2XFsCcQY.jpg","View")</f>
        <v>View</v>
      </c>
    </row>
    <row r="1787" spans="1:21" ht="20.399999999999999">
      <c r="A1787" s="6">
        <v>43426.788310185184</v>
      </c>
      <c r="B1787" s="7" t="str">
        <f>HYPERLINK("https://twitter.com/jacintalt","@jacintalt")</f>
        <v>@jacintalt</v>
      </c>
      <c r="C1787" s="8" t="s">
        <v>6608</v>
      </c>
      <c r="D1787" s="9" t="s">
        <v>2981</v>
      </c>
      <c r="E1787" s="10" t="str">
        <f>HYPERLINK("https://twitter.com/jacintalt/status/1065665003431309312","1065665003431309312")</f>
        <v>1065665003431309312</v>
      </c>
      <c r="F1787" s="11" t="s">
        <v>6609</v>
      </c>
      <c r="G1787" s="12"/>
      <c r="H1787" s="12"/>
      <c r="I1787" s="13">
        <v>0</v>
      </c>
      <c r="J1787" s="13">
        <v>0</v>
      </c>
      <c r="K1787" s="14" t="str">
        <f>HYPERLINK("http://twitter.com/#!/download/ipad","Twitter for iPad")</f>
        <v>Twitter for iPad</v>
      </c>
      <c r="L1787" s="13">
        <v>110</v>
      </c>
      <c r="M1787" s="13">
        <v>299</v>
      </c>
      <c r="N1787" s="13">
        <v>1</v>
      </c>
      <c r="O1787" s="15"/>
      <c r="P1787" s="6">
        <v>41268.936597222222</v>
      </c>
      <c r="Q1787" s="12"/>
      <c r="R1787" s="19"/>
      <c r="S1787" s="12"/>
      <c r="T1787" s="12"/>
      <c r="U1787" s="10" t="str">
        <f>HYPERLINK("https://pbs.twimg.com/profile_images/1044246196372590593/2vHNIGpV.jpg","View")</f>
        <v>View</v>
      </c>
    </row>
    <row r="1788" spans="1:21" ht="20.399999999999999">
      <c r="A1788" s="6">
        <v>43426.787754629629</v>
      </c>
      <c r="B1788" s="7" t="str">
        <f>HYPERLINK("https://twitter.com/impactocna","@impactocna")</f>
        <v>@impactocna</v>
      </c>
      <c r="C1788" s="8" t="s">
        <v>6610</v>
      </c>
      <c r="D1788" s="9" t="s">
        <v>6611</v>
      </c>
      <c r="E1788" s="10" t="str">
        <f>HYPERLINK("https://twitter.com/impactocna/status/1065664800666132481","1065664800666132481")</f>
        <v>1065664800666132481</v>
      </c>
      <c r="F1788" s="11" t="s">
        <v>6612</v>
      </c>
      <c r="G1788" s="12"/>
      <c r="H1788" s="12"/>
      <c r="I1788" s="13">
        <v>1</v>
      </c>
      <c r="J1788" s="13">
        <v>0</v>
      </c>
      <c r="K1788" s="14" t="str">
        <f>HYPERLINK("http://twitter.com","Twitter Web Client")</f>
        <v>Twitter Web Client</v>
      </c>
      <c r="L1788" s="13">
        <v>9269</v>
      </c>
      <c r="M1788" s="13">
        <v>2030</v>
      </c>
      <c r="N1788" s="13">
        <v>407</v>
      </c>
      <c r="O1788" s="15"/>
      <c r="P1788" s="6">
        <v>40133.802083333336</v>
      </c>
      <c r="Q1788" s="17" t="s">
        <v>6613</v>
      </c>
      <c r="R1788" s="18" t="s">
        <v>6614</v>
      </c>
      <c r="S1788" s="11" t="s">
        <v>6615</v>
      </c>
      <c r="T1788" s="12"/>
      <c r="U1788" s="10" t="str">
        <f>HYPERLINK("https://pbs.twimg.com/profile_images/651447380211073024/qvrk56tu.png","View")</f>
        <v>View</v>
      </c>
    </row>
    <row r="1789" spans="1:21" ht="61.2">
      <c r="A1789" s="6">
        <v>43426.787256944444</v>
      </c>
      <c r="B1789" s="7" t="str">
        <f>HYPERLINK("https://twitter.com/fcguerrero13","@fcguerrero13")</f>
        <v>@fcguerrero13</v>
      </c>
      <c r="C1789" s="8" t="s">
        <v>6616</v>
      </c>
      <c r="D1789" s="9" t="s">
        <v>6617</v>
      </c>
      <c r="E1789" s="10" t="str">
        <f>HYPERLINK("https://twitter.com/fcguerrero13/status/1065664622814990337","1065664622814990337")</f>
        <v>1065664622814990337</v>
      </c>
      <c r="F1789" s="11" t="s">
        <v>6618</v>
      </c>
      <c r="G1789" s="11" t="s">
        <v>6619</v>
      </c>
      <c r="H1789" s="12"/>
      <c r="I1789" s="13">
        <v>0</v>
      </c>
      <c r="J1789" s="13">
        <v>3</v>
      </c>
      <c r="K1789" s="14" t="str">
        <f>HYPERLINK("http://twitter.com/#!/download/ipad","Twitter for iPad")</f>
        <v>Twitter for iPad</v>
      </c>
      <c r="L1789" s="13">
        <v>710</v>
      </c>
      <c r="M1789" s="13">
        <v>718</v>
      </c>
      <c r="N1789" s="13">
        <v>24</v>
      </c>
      <c r="O1789" s="15"/>
      <c r="P1789" s="6">
        <v>41076.611215277779</v>
      </c>
      <c r="Q1789" s="17" t="s">
        <v>6620</v>
      </c>
      <c r="R1789" s="18" t="s">
        <v>6621</v>
      </c>
      <c r="S1789" s="11" t="s">
        <v>6622</v>
      </c>
      <c r="T1789" s="12"/>
      <c r="U1789" s="10" t="str">
        <f>HYPERLINK("https://pbs.twimg.com/profile_images/1050439767484190721/3R0_6krA.jpg","View")</f>
        <v>View</v>
      </c>
    </row>
    <row r="1790" spans="1:21" ht="40.799999999999997">
      <c r="A1790" s="6">
        <v>43426.786817129629</v>
      </c>
      <c r="B1790" s="7" t="str">
        <f>HYPERLINK("https://twitter.com/aba261","@aba261")</f>
        <v>@aba261</v>
      </c>
      <c r="C1790" s="8" t="s">
        <v>6623</v>
      </c>
      <c r="D1790" s="9" t="s">
        <v>5073</v>
      </c>
      <c r="E1790" s="10" t="str">
        <f>HYPERLINK("https://twitter.com/aba261/status/1065664463498592256","1065664463498592256")</f>
        <v>1065664463498592256</v>
      </c>
      <c r="F1790" s="11" t="s">
        <v>607</v>
      </c>
      <c r="G1790" s="12"/>
      <c r="H1790" s="12"/>
      <c r="I1790" s="13">
        <v>0</v>
      </c>
      <c r="J1790" s="13">
        <v>0</v>
      </c>
      <c r="K1790" s="14" t="str">
        <f>HYPERLINK("http://twitter.com/download/iphone","Twitter for iPhone")</f>
        <v>Twitter for iPhone</v>
      </c>
      <c r="L1790" s="13">
        <v>16518</v>
      </c>
      <c r="M1790" s="13">
        <v>7727</v>
      </c>
      <c r="N1790" s="13">
        <v>117</v>
      </c>
      <c r="O1790" s="15"/>
      <c r="P1790" s="6">
        <v>41048.762013888889</v>
      </c>
      <c r="Q1790" s="12"/>
      <c r="R1790" s="18" t="s">
        <v>6624</v>
      </c>
      <c r="S1790" s="12"/>
      <c r="T1790" s="12"/>
      <c r="U1790" s="10" t="str">
        <f>HYPERLINK("https://pbs.twimg.com/profile_images/1065901836325060608/XKfebi0K.jpg","View")</f>
        <v>View</v>
      </c>
    </row>
    <row r="1791" spans="1:21" ht="30.6">
      <c r="A1791" s="6">
        <v>43426.786527777775</v>
      </c>
      <c r="B1791" s="7" t="str">
        <f>HYPERLINK("https://twitter.com/Marisseta","@Marisseta")</f>
        <v>@Marisseta</v>
      </c>
      <c r="C1791" s="8" t="s">
        <v>6324</v>
      </c>
      <c r="D1791" s="9" t="s">
        <v>6625</v>
      </c>
      <c r="E1791" s="10" t="str">
        <f>HYPERLINK("https://twitter.com/Marisseta/status/1065664358255079424","1065664358255079424")</f>
        <v>1065664358255079424</v>
      </c>
      <c r="F1791" s="11" t="s">
        <v>6626</v>
      </c>
      <c r="G1791" s="12"/>
      <c r="H1791" s="12"/>
      <c r="I1791" s="13">
        <v>0</v>
      </c>
      <c r="J1791" s="13">
        <v>0</v>
      </c>
      <c r="K1791" s="14" t="str">
        <f>HYPERLINK("https://ifttt.com","IFTTT")</f>
        <v>IFTTT</v>
      </c>
      <c r="L1791" s="13">
        <v>2017</v>
      </c>
      <c r="M1791" s="13">
        <v>1887</v>
      </c>
      <c r="N1791" s="13">
        <v>120</v>
      </c>
      <c r="O1791" s="15"/>
      <c r="P1791" s="6">
        <v>40024.460740740738</v>
      </c>
      <c r="Q1791" s="17" t="s">
        <v>550</v>
      </c>
      <c r="R1791" s="18" t="s">
        <v>6326</v>
      </c>
      <c r="S1791" s="12"/>
      <c r="T1791" s="12"/>
      <c r="U1791" s="10" t="str">
        <f>HYPERLINK("https://pbs.twimg.com/profile_images/804503355833905157/_jLh908E.jpg","View")</f>
        <v>View</v>
      </c>
    </row>
    <row r="1792" spans="1:21" ht="20.399999999999999">
      <c r="A1792" s="6">
        <v>43426.786111111112</v>
      </c>
      <c r="B1792" s="7" t="str">
        <f>HYPERLINK("https://twitter.com/jalocu1960","@jalocu1960")</f>
        <v>@jalocu1960</v>
      </c>
      <c r="C1792" s="8" t="s">
        <v>6627</v>
      </c>
      <c r="D1792" s="9" t="s">
        <v>1143</v>
      </c>
      <c r="E1792" s="10" t="str">
        <f>HYPERLINK("https://twitter.com/jalocu1960/status/1065664206387781632","1065664206387781632")</f>
        <v>1065664206387781632</v>
      </c>
      <c r="F1792" s="11" t="s">
        <v>6628</v>
      </c>
      <c r="G1792" s="12"/>
      <c r="H1792" s="12"/>
      <c r="I1792" s="13">
        <v>2</v>
      </c>
      <c r="J1792" s="13">
        <v>1</v>
      </c>
      <c r="K1792" s="14" t="str">
        <f t="shared" ref="K1792:K1793" si="287">HYPERLINK("http://twitter.com","Twitter Web Client")</f>
        <v>Twitter Web Client</v>
      </c>
      <c r="L1792" s="13">
        <v>11566</v>
      </c>
      <c r="M1792" s="13">
        <v>11538</v>
      </c>
      <c r="N1792" s="13">
        <v>40</v>
      </c>
      <c r="O1792" s="15"/>
      <c r="P1792" s="6">
        <v>41484.028831018521</v>
      </c>
      <c r="Q1792" s="17" t="s">
        <v>4707</v>
      </c>
      <c r="R1792" s="19"/>
      <c r="S1792" s="12"/>
      <c r="T1792" s="12"/>
      <c r="U1792" s="10" t="str">
        <f>HYPERLINK("https://pbs.twimg.com/profile_images/648083291829047296/cI2DqGr_.jpg","View")</f>
        <v>View</v>
      </c>
    </row>
    <row r="1793" spans="1:21" ht="20.399999999999999">
      <c r="A1793" s="6">
        <v>43426.785949074074</v>
      </c>
      <c r="B1793" s="7" t="str">
        <f>HYPERLINK("https://twitter.com/PascualMartiAlz","@PascualMartiAlz")</f>
        <v>@PascualMartiAlz</v>
      </c>
      <c r="C1793" s="8" t="s">
        <v>6629</v>
      </c>
      <c r="D1793" s="9" t="s">
        <v>6630</v>
      </c>
      <c r="E1793" s="10" t="str">
        <f>HYPERLINK("https://twitter.com/PascualMartiAlz/status/1065664146803429392","1065664146803429392")</f>
        <v>1065664146803429392</v>
      </c>
      <c r="F1793" s="11" t="s">
        <v>6631</v>
      </c>
      <c r="G1793" s="12"/>
      <c r="H1793" s="12"/>
      <c r="I1793" s="13">
        <v>0</v>
      </c>
      <c r="J1793" s="13">
        <v>1</v>
      </c>
      <c r="K1793" s="14" t="str">
        <f t="shared" si="287"/>
        <v>Twitter Web Client</v>
      </c>
      <c r="L1793" s="13">
        <v>176</v>
      </c>
      <c r="M1793" s="13">
        <v>214</v>
      </c>
      <c r="N1793" s="13">
        <v>5</v>
      </c>
      <c r="O1793" s="15"/>
      <c r="P1793" s="6">
        <v>41573.484317129631</v>
      </c>
      <c r="Q1793" s="17" t="s">
        <v>6632</v>
      </c>
      <c r="R1793" s="18" t="s">
        <v>6633</v>
      </c>
      <c r="S1793" s="12"/>
      <c r="T1793" s="12"/>
      <c r="U1793" s="10" t="str">
        <f>HYPERLINK("https://pbs.twimg.com/profile_images/697873735408340997/C63G_pKV.jpg","View")</f>
        <v>View</v>
      </c>
    </row>
    <row r="1794" spans="1:21" ht="20.399999999999999">
      <c r="A1794" s="6">
        <v>43426.785636574074</v>
      </c>
      <c r="B1794" s="7" t="str">
        <f>HYPERLINK("https://twitter.com/1414sisi","@1414sisi")</f>
        <v>@1414sisi</v>
      </c>
      <c r="C1794" s="8" t="s">
        <v>6634</v>
      </c>
      <c r="D1794" s="9" t="s">
        <v>6635</v>
      </c>
      <c r="E1794" s="10" t="str">
        <f>HYPERLINK("https://twitter.com/1414sisi/status/1065664032303194113","1065664032303194113")</f>
        <v>1065664032303194113</v>
      </c>
      <c r="F1794" s="12"/>
      <c r="G1794" s="12"/>
      <c r="H1794" s="12"/>
      <c r="I1794" s="13">
        <v>0</v>
      </c>
      <c r="J1794" s="13">
        <v>0</v>
      </c>
      <c r="K1794" s="14" t="str">
        <f t="shared" ref="K1794:K1795" si="288">HYPERLINK("http://twitter.com/download/android","Twitter for Android")</f>
        <v>Twitter for Android</v>
      </c>
      <c r="L1794" s="13">
        <v>24</v>
      </c>
      <c r="M1794" s="13">
        <v>54</v>
      </c>
      <c r="N1794" s="13">
        <v>1</v>
      </c>
      <c r="O1794" s="15"/>
      <c r="P1794" s="6">
        <v>43301.48101851852</v>
      </c>
      <c r="Q1794" s="17" t="s">
        <v>6636</v>
      </c>
      <c r="R1794" s="18" t="s">
        <v>6637</v>
      </c>
      <c r="S1794" s="12"/>
      <c r="T1794" s="12"/>
      <c r="U1794" s="16" t="s">
        <v>373</v>
      </c>
    </row>
    <row r="1795" spans="1:21" ht="40.799999999999997">
      <c r="A1795" s="6">
        <v>43426.785613425927</v>
      </c>
      <c r="B1795" s="7" t="str">
        <f>HYPERLINK("https://twitter.com/pilaraymara","@pilaraymara")</f>
        <v>@pilaraymara</v>
      </c>
      <c r="C1795" s="8" t="s">
        <v>6638</v>
      </c>
      <c r="D1795" s="9" t="s">
        <v>6639</v>
      </c>
      <c r="E1795" s="10" t="str">
        <f>HYPERLINK("https://twitter.com/pilaraymara/status/1065664024069791745","1065664024069791745")</f>
        <v>1065664024069791745</v>
      </c>
      <c r="F1795" s="11" t="s">
        <v>641</v>
      </c>
      <c r="G1795" s="12"/>
      <c r="H1795" s="12"/>
      <c r="I1795" s="13">
        <v>2</v>
      </c>
      <c r="J1795" s="13">
        <v>0</v>
      </c>
      <c r="K1795" s="14" t="str">
        <f t="shared" si="288"/>
        <v>Twitter for Android</v>
      </c>
      <c r="L1795" s="13">
        <v>6476</v>
      </c>
      <c r="M1795" s="13">
        <v>2764</v>
      </c>
      <c r="N1795" s="13">
        <v>204</v>
      </c>
      <c r="O1795" s="15"/>
      <c r="P1795" s="6">
        <v>40616.555879629632</v>
      </c>
      <c r="Q1795" s="17" t="s">
        <v>1462</v>
      </c>
      <c r="R1795" s="18" t="s">
        <v>6640</v>
      </c>
      <c r="S1795" s="11" t="s">
        <v>6641</v>
      </c>
      <c r="T1795" s="12"/>
      <c r="U1795" s="10" t="str">
        <f>HYPERLINK("https://pbs.twimg.com/profile_images/1064846038723411969/5oDVCma-.jpg","View")</f>
        <v>View</v>
      </c>
    </row>
    <row r="1796" spans="1:21" ht="51">
      <c r="A1796" s="6">
        <v>43426.785405092596</v>
      </c>
      <c r="B1796" s="7" t="str">
        <f>HYPERLINK("https://twitter.com/PBMarbeMalaga","@PBMarbeMalaga")</f>
        <v>@PBMarbeMalaga</v>
      </c>
      <c r="C1796" s="8" t="s">
        <v>6412</v>
      </c>
      <c r="D1796" s="9" t="s">
        <v>6642</v>
      </c>
      <c r="E1796" s="10" t="str">
        <f>HYPERLINK("https://twitter.com/PBMarbeMalaga/status/1065663952263225344","1065663952263225344")</f>
        <v>1065663952263225344</v>
      </c>
      <c r="F1796" s="11" t="s">
        <v>6517</v>
      </c>
      <c r="G1796" s="12"/>
      <c r="H1796" s="12"/>
      <c r="I1796" s="13">
        <v>0</v>
      </c>
      <c r="J1796" s="13">
        <v>0</v>
      </c>
      <c r="K1796" s="14" t="str">
        <f>HYPERLINK("https://javitang.ddns.net","PBMarbeMalaga")</f>
        <v>PBMarbeMalaga</v>
      </c>
      <c r="L1796" s="13">
        <v>1222</v>
      </c>
      <c r="M1796" s="13">
        <v>1245</v>
      </c>
      <c r="N1796" s="13">
        <v>2</v>
      </c>
      <c r="O1796" s="15"/>
      <c r="P1796" s="6">
        <v>43149.814074074078</v>
      </c>
      <c r="Q1796" s="17" t="s">
        <v>6413</v>
      </c>
      <c r="R1796" s="18" t="s">
        <v>6414</v>
      </c>
      <c r="S1796" s="12"/>
      <c r="T1796" s="12"/>
      <c r="U1796" s="10" t="str">
        <f>HYPERLINK("https://pbs.twimg.com/profile_images/965296691145531392/sAFnfUu2.jpg","View")</f>
        <v>View</v>
      </c>
    </row>
    <row r="1797" spans="1:21" ht="30.6">
      <c r="A1797" s="6">
        <v>43426.784444444449</v>
      </c>
      <c r="B1797" s="7" t="str">
        <f>HYPERLINK("https://twitter.com/LosadaPescador","@LosadaPescador")</f>
        <v>@LosadaPescador</v>
      </c>
      <c r="C1797" s="8" t="s">
        <v>6647</v>
      </c>
      <c r="D1797" s="9" t="s">
        <v>6648</v>
      </c>
      <c r="E1797" s="10" t="str">
        <f>HYPERLINK("https://twitter.com/LosadaPescador/status/1065663601019666432","1065663601019666432")</f>
        <v>1065663601019666432</v>
      </c>
      <c r="F1797" s="11" t="s">
        <v>6649</v>
      </c>
      <c r="G1797" s="12"/>
      <c r="H1797" s="12"/>
      <c r="I1797" s="13">
        <v>2</v>
      </c>
      <c r="J1797" s="13">
        <v>2</v>
      </c>
      <c r="K1797" s="14" t="str">
        <f>HYPERLINK("http://twitter.com/download/android","Twitter for Android")</f>
        <v>Twitter for Android</v>
      </c>
      <c r="L1797" s="13">
        <v>11030</v>
      </c>
      <c r="M1797" s="13">
        <v>884</v>
      </c>
      <c r="N1797" s="13">
        <v>351</v>
      </c>
      <c r="O1797" s="15"/>
      <c r="P1797" s="6">
        <v>40604.731817129628</v>
      </c>
      <c r="Q1797" s="17" t="s">
        <v>28</v>
      </c>
      <c r="R1797" s="18" t="s">
        <v>6650</v>
      </c>
      <c r="S1797" s="11" t="s">
        <v>6651</v>
      </c>
      <c r="T1797" s="12"/>
      <c r="U1797" s="10" t="str">
        <f>HYPERLINK("https://pbs.twimg.com/profile_images/1011465213118500864/r6QYYlKN.jpg","View")</f>
        <v>View</v>
      </c>
    </row>
    <row r="1798" spans="1:21" ht="20.399999999999999">
      <c r="A1798" s="6">
        <v>43426.784305555557</v>
      </c>
      <c r="B1798" s="7" t="str">
        <f>HYPERLINK("https://twitter.com/SapristiZ","@SapristiZ")</f>
        <v>@SapristiZ</v>
      </c>
      <c r="C1798" s="8" t="s">
        <v>6652</v>
      </c>
      <c r="D1798" s="9" t="s">
        <v>2981</v>
      </c>
      <c r="E1798" s="10" t="str">
        <f>HYPERLINK("https://twitter.com/SapristiZ/status/1065663550977425409","1065663550977425409")</f>
        <v>1065663550977425409</v>
      </c>
      <c r="F1798" s="11" t="s">
        <v>6653</v>
      </c>
      <c r="G1798" s="12"/>
      <c r="H1798" s="12"/>
      <c r="I1798" s="13">
        <v>0</v>
      </c>
      <c r="J1798" s="13">
        <v>0</v>
      </c>
      <c r="K1798" s="14" t="str">
        <f>HYPERLINK("http://twitter.com/#!/download/ipad","Twitter for iPad")</f>
        <v>Twitter for iPad</v>
      </c>
      <c r="L1798" s="13">
        <v>79</v>
      </c>
      <c r="M1798" s="13">
        <v>365</v>
      </c>
      <c r="N1798" s="13">
        <v>0</v>
      </c>
      <c r="O1798" s="15"/>
      <c r="P1798" s="6">
        <v>41491.666701388887</v>
      </c>
      <c r="Q1798" s="12"/>
      <c r="R1798" s="18" t="s">
        <v>6654</v>
      </c>
      <c r="S1798" s="12"/>
      <c r="T1798" s="12"/>
      <c r="U1798" s="10" t="str">
        <f>HYPERLINK("https://pbs.twimg.com/profile_images/915936890611781632/C-GwetNw.jpg","View")</f>
        <v>View</v>
      </c>
    </row>
    <row r="1799" spans="1:21" ht="30.6">
      <c r="A1799" s="6">
        <v>43426.782870370371</v>
      </c>
      <c r="B1799" s="7" t="str">
        <f>HYPERLINK("https://twitter.com/EspanaJusta10","@EspanaJusta10")</f>
        <v>@EspanaJusta10</v>
      </c>
      <c r="C1799" s="8" t="s">
        <v>778</v>
      </c>
      <c r="D1799" s="9" t="s">
        <v>6655</v>
      </c>
      <c r="E1799" s="10" t="str">
        <f>HYPERLINK("https://twitter.com/EspanaJusta10/status/1065663032347496448","1065663032347496448")</f>
        <v>1065663032347496448</v>
      </c>
      <c r="F1799" s="11" t="s">
        <v>6656</v>
      </c>
      <c r="G1799" s="12"/>
      <c r="H1799" s="12"/>
      <c r="I1799" s="13">
        <v>2</v>
      </c>
      <c r="J1799" s="13">
        <v>2</v>
      </c>
      <c r="K1799" s="14" t="str">
        <f>HYPERLINK("http://twitter.com","Twitter Web Client")</f>
        <v>Twitter Web Client</v>
      </c>
      <c r="L1799" s="13">
        <v>251</v>
      </c>
      <c r="M1799" s="13">
        <v>784</v>
      </c>
      <c r="N1799" s="13">
        <v>0</v>
      </c>
      <c r="O1799" s="15"/>
      <c r="P1799" s="6">
        <v>43384.003148148149</v>
      </c>
      <c r="Q1799" s="17" t="s">
        <v>27</v>
      </c>
      <c r="R1799" s="18" t="s">
        <v>781</v>
      </c>
      <c r="S1799" s="12"/>
      <c r="T1799" s="12"/>
      <c r="U1799" s="10" t="str">
        <f>HYPERLINK("https://pbs.twimg.com/profile_images/1050164153313320960/E5l4rbsK.jpg","View")</f>
        <v>View</v>
      </c>
    </row>
    <row r="1800" spans="1:21" ht="30.6">
      <c r="A1800" s="6">
        <v>43426.782870370371</v>
      </c>
      <c r="B1800" s="7" t="str">
        <f>HYPERLINK("https://twitter.com/JavierFFerrero","@JavierFFerrero")</f>
        <v>@JavierFFerrero</v>
      </c>
      <c r="C1800" s="8" t="s">
        <v>6657</v>
      </c>
      <c r="D1800" s="9" t="s">
        <v>6658</v>
      </c>
      <c r="E1800" s="10" t="str">
        <f>HYPERLINK("https://twitter.com/JavierFFerrero/status/1065663030728507393","1065663030728507393")</f>
        <v>1065663030728507393</v>
      </c>
      <c r="F1800" s="11" t="s">
        <v>1776</v>
      </c>
      <c r="G1800" s="11" t="s">
        <v>6659</v>
      </c>
      <c r="H1800" s="12"/>
      <c r="I1800" s="13">
        <v>4</v>
      </c>
      <c r="J1800" s="13">
        <v>6</v>
      </c>
      <c r="K1800" s="14" t="str">
        <f t="shared" ref="K1800:K1801" si="289">HYPERLINK("http://twitter.com/download/android","Twitter for Android")</f>
        <v>Twitter for Android</v>
      </c>
      <c r="L1800" s="13">
        <v>8549</v>
      </c>
      <c r="M1800" s="13">
        <v>825</v>
      </c>
      <c r="N1800" s="13">
        <v>94</v>
      </c>
      <c r="O1800" s="15"/>
      <c r="P1800" s="6">
        <v>42016.560729166667</v>
      </c>
      <c r="Q1800" s="17" t="s">
        <v>283</v>
      </c>
      <c r="R1800" s="18" t="s">
        <v>6660</v>
      </c>
      <c r="S1800" s="11" t="s">
        <v>4801</v>
      </c>
      <c r="T1800" s="12"/>
      <c r="U1800" s="10" t="str">
        <f>HYPERLINK("https://pbs.twimg.com/profile_images/1043954631905357824/OqMPjUjS.jpg","View")</f>
        <v>View</v>
      </c>
    </row>
    <row r="1801" spans="1:21" ht="40.799999999999997">
      <c r="A1801" s="6">
        <v>43426.78260416667</v>
      </c>
      <c r="B1801" s="7" t="str">
        <f>HYPERLINK("https://twitter.com/JoseCarlos_MA","@JoseCarlos_MA")</f>
        <v>@JoseCarlos_MA</v>
      </c>
      <c r="C1801" s="8" t="s">
        <v>6072</v>
      </c>
      <c r="D1801" s="9" t="s">
        <v>6661</v>
      </c>
      <c r="E1801" s="10" t="str">
        <f>HYPERLINK("https://twitter.com/JoseCarlos_MA/status/1065662934209232896","1065662934209232896")</f>
        <v>1065662934209232896</v>
      </c>
      <c r="F1801" s="11" t="s">
        <v>2857</v>
      </c>
      <c r="G1801" s="12"/>
      <c r="H1801" s="12"/>
      <c r="I1801" s="13">
        <v>0</v>
      </c>
      <c r="J1801" s="13">
        <v>1</v>
      </c>
      <c r="K1801" s="14" t="str">
        <f t="shared" si="289"/>
        <v>Twitter for Android</v>
      </c>
      <c r="L1801" s="13">
        <v>2510</v>
      </c>
      <c r="M1801" s="13">
        <v>2094</v>
      </c>
      <c r="N1801" s="13">
        <v>42</v>
      </c>
      <c r="O1801" s="15"/>
      <c r="P1801" s="6">
        <v>40869.479004629626</v>
      </c>
      <c r="Q1801" s="12"/>
      <c r="R1801" s="18" t="s">
        <v>6074</v>
      </c>
      <c r="S1801" s="12"/>
      <c r="T1801" s="12"/>
      <c r="U1801" s="10" t="str">
        <f>HYPERLINK("https://pbs.twimg.com/profile_images/957551667590893568/-WI0lVyX.jpg","View")</f>
        <v>View</v>
      </c>
    </row>
    <row r="1802" spans="1:21" ht="61.2">
      <c r="A1802" s="6">
        <v>43426.782037037032</v>
      </c>
      <c r="B1802" s="7" t="str">
        <f>HYPERLINK("https://twitter.com/Xiscally","@Xiscally")</f>
        <v>@Xiscally</v>
      </c>
      <c r="C1802" s="8" t="s">
        <v>6662</v>
      </c>
      <c r="D1802" s="9" t="s">
        <v>6663</v>
      </c>
      <c r="E1802" s="10" t="str">
        <f>HYPERLINK("https://twitter.com/Xiscally/status/1065662731641126917","1065662731641126917")</f>
        <v>1065662731641126917</v>
      </c>
      <c r="F1802" s="12"/>
      <c r="G1802" s="12"/>
      <c r="H1802" s="12"/>
      <c r="I1802" s="13">
        <v>0</v>
      </c>
      <c r="J1802" s="13">
        <v>0</v>
      </c>
      <c r="K1802" s="14" t="str">
        <f>HYPERLINK("http://twitter.com","Twitter Web Client")</f>
        <v>Twitter Web Client</v>
      </c>
      <c r="L1802" s="13">
        <v>636</v>
      </c>
      <c r="M1802" s="13">
        <v>321</v>
      </c>
      <c r="N1802" s="13">
        <v>54</v>
      </c>
      <c r="O1802" s="15"/>
      <c r="P1802" s="6">
        <v>40014.69908564815</v>
      </c>
      <c r="Q1802" s="17" t="s">
        <v>6664</v>
      </c>
      <c r="R1802" s="18" t="s">
        <v>6665</v>
      </c>
      <c r="S1802" s="11" t="s">
        <v>6666</v>
      </c>
      <c r="T1802" s="12"/>
      <c r="U1802" s="10" t="str">
        <f>HYPERLINK("https://pbs.twimg.com/profile_images/378800000656060765/0c7e482271392c1346f5fecd05e06c0a.jpeg","View")</f>
        <v>View</v>
      </c>
    </row>
    <row r="1803" spans="1:21" ht="30.6">
      <c r="A1803" s="6">
        <v>43426.780949074076</v>
      </c>
      <c r="B1803" s="7" t="str">
        <f>HYPERLINK("https://twitter.com/bechoch","@bechoch")</f>
        <v>@bechoch</v>
      </c>
      <c r="C1803" s="8" t="s">
        <v>4760</v>
      </c>
      <c r="D1803" s="9" t="s">
        <v>6667</v>
      </c>
      <c r="E1803" s="10" t="str">
        <f>HYPERLINK("https://twitter.com/bechoch/status/1065662334310461440","1065662334310461440")</f>
        <v>1065662334310461440</v>
      </c>
      <c r="F1803" s="12"/>
      <c r="G1803" s="11" t="s">
        <v>6668</v>
      </c>
      <c r="H1803" s="12"/>
      <c r="I1803" s="13">
        <v>0</v>
      </c>
      <c r="J1803" s="13">
        <v>0</v>
      </c>
      <c r="K1803" s="14" t="str">
        <f t="shared" ref="K1803:K1804" si="290">HYPERLINK("http://twitter.com/download/android","Twitter for Android")</f>
        <v>Twitter for Android</v>
      </c>
      <c r="L1803" s="13">
        <v>1542</v>
      </c>
      <c r="M1803" s="13">
        <v>1494</v>
      </c>
      <c r="N1803" s="13">
        <v>33</v>
      </c>
      <c r="O1803" s="15"/>
      <c r="P1803" s="6">
        <v>41395.532870370371</v>
      </c>
      <c r="Q1803" s="12"/>
      <c r="R1803" s="18" t="s">
        <v>4762</v>
      </c>
      <c r="S1803" s="12"/>
      <c r="T1803" s="12"/>
      <c r="U1803" s="10" t="str">
        <f>HYPERLINK("https://pbs.twimg.com/profile_images/898575706136989697/2lWLxVVC.jpg","View")</f>
        <v>View</v>
      </c>
    </row>
    <row r="1804" spans="1:21" ht="13.2">
      <c r="A1804" s="6">
        <v>43426.780648148153</v>
      </c>
      <c r="B1804" s="7" t="str">
        <f>HYPERLINK("https://twitter.com/tienecojonesl","@tienecojonesl")</f>
        <v>@tienecojonesl</v>
      </c>
      <c r="C1804" s="8" t="s">
        <v>6669</v>
      </c>
      <c r="D1804" s="9" t="s">
        <v>6670</v>
      </c>
      <c r="E1804" s="10" t="str">
        <f>HYPERLINK("https://twitter.com/tienecojonesl/status/1065662226986602496","1065662226986602496")</f>
        <v>1065662226986602496</v>
      </c>
      <c r="F1804" s="11" t="s">
        <v>6671</v>
      </c>
      <c r="G1804" s="12"/>
      <c r="H1804" s="12"/>
      <c r="I1804" s="13">
        <v>2</v>
      </c>
      <c r="J1804" s="13">
        <v>0</v>
      </c>
      <c r="K1804" s="14" t="str">
        <f t="shared" si="290"/>
        <v>Twitter for Android</v>
      </c>
      <c r="L1804" s="13">
        <v>482</v>
      </c>
      <c r="M1804" s="13">
        <v>431</v>
      </c>
      <c r="N1804" s="13">
        <v>0</v>
      </c>
      <c r="O1804" s="15"/>
      <c r="P1804" s="6">
        <v>43024.613379629634</v>
      </c>
      <c r="Q1804" s="17" t="s">
        <v>6672</v>
      </c>
      <c r="R1804" s="19"/>
      <c r="S1804" s="11" t="s">
        <v>6673</v>
      </c>
      <c r="T1804" s="12"/>
      <c r="U1804" s="10" t="str">
        <f>HYPERLINK("https://pbs.twimg.com/profile_images/1055463795395645441/4GNMAt26.jpg","View")</f>
        <v>View</v>
      </c>
    </row>
    <row r="1805" spans="1:21" ht="40.799999999999997">
      <c r="A1805" s="6">
        <v>43426.780451388884</v>
      </c>
      <c r="B1805" s="7" t="str">
        <f>HYPERLINK("https://twitter.com/HectorMillano","@HectorMillano")</f>
        <v>@HectorMillano</v>
      </c>
      <c r="C1805" s="8" t="s">
        <v>6674</v>
      </c>
      <c r="D1805" s="9" t="s">
        <v>6675</v>
      </c>
      <c r="E1805" s="10" t="str">
        <f>HYPERLINK("https://twitter.com/HectorMillano/status/1065662153166921733","1065662153166921733")</f>
        <v>1065662153166921733</v>
      </c>
      <c r="F1805" s="12"/>
      <c r="G1805" s="12"/>
      <c r="H1805" s="12"/>
      <c r="I1805" s="13">
        <v>0</v>
      </c>
      <c r="J1805" s="13">
        <v>0</v>
      </c>
      <c r="K1805" s="14" t="str">
        <f>HYPERLINK("https://about.twitter.com/products/tweetdeck","TweetDeck")</f>
        <v>TweetDeck</v>
      </c>
      <c r="L1805" s="13">
        <v>435</v>
      </c>
      <c r="M1805" s="13">
        <v>620</v>
      </c>
      <c r="N1805" s="13">
        <v>18</v>
      </c>
      <c r="O1805" s="15"/>
      <c r="P1805" s="6">
        <v>40844.693310185183</v>
      </c>
      <c r="Q1805" s="17" t="s">
        <v>6676</v>
      </c>
      <c r="R1805" s="18" t="s">
        <v>6677</v>
      </c>
      <c r="S1805" s="11" t="s">
        <v>6678</v>
      </c>
      <c r="T1805" s="12"/>
      <c r="U1805" s="10" t="str">
        <f>HYPERLINK("https://pbs.twimg.com/profile_images/822786563918745600/O0QI__yH.jpg","View")</f>
        <v>View</v>
      </c>
    </row>
    <row r="1806" spans="1:21" ht="71.400000000000006">
      <c r="A1806" s="6">
        <v>43426.779791666668</v>
      </c>
      <c r="B1806" s="7" t="str">
        <f>HYPERLINK("https://twitter.com/El_Perchelero","@El_Perchelero")</f>
        <v>@El_Perchelero</v>
      </c>
      <c r="C1806" s="8" t="s">
        <v>5792</v>
      </c>
      <c r="D1806" s="9" t="s">
        <v>6679</v>
      </c>
      <c r="E1806" s="10" t="str">
        <f>HYPERLINK("https://twitter.com/El_Perchelero/status/1065661914464821248","1065661914464821248")</f>
        <v>1065661914464821248</v>
      </c>
      <c r="F1806" s="17" t="s">
        <v>6681</v>
      </c>
      <c r="G1806" s="12"/>
      <c r="H1806" s="12"/>
      <c r="I1806" s="13">
        <v>0</v>
      </c>
      <c r="J1806" s="13">
        <v>0</v>
      </c>
      <c r="K1806" s="14" t="str">
        <f>HYPERLINK("http://twitter.com/download/android","Twitter for Android")</f>
        <v>Twitter for Android</v>
      </c>
      <c r="L1806" s="13">
        <v>142</v>
      </c>
      <c r="M1806" s="13">
        <v>515</v>
      </c>
      <c r="N1806" s="13">
        <v>5</v>
      </c>
      <c r="O1806" s="15"/>
      <c r="P1806" s="6">
        <v>42662.697141203702</v>
      </c>
      <c r="Q1806" s="12"/>
      <c r="R1806" s="18" t="s">
        <v>5795</v>
      </c>
      <c r="S1806" s="12"/>
      <c r="T1806" s="12"/>
      <c r="U1806" s="10" t="str">
        <f>HYPERLINK("https://pbs.twimg.com/profile_images/788754962713116672/NWgKDpSO.jpg","View")</f>
        <v>View</v>
      </c>
    </row>
    <row r="1807" spans="1:21" ht="30.6">
      <c r="A1807" s="6">
        <v>43426.779212962967</v>
      </c>
      <c r="B1807" s="7" t="str">
        <f>HYPERLINK("https://twitter.com/eclementen","@eclementen")</f>
        <v>@eclementen</v>
      </c>
      <c r="C1807" s="8" t="s">
        <v>6682</v>
      </c>
      <c r="D1807" s="9" t="s">
        <v>6683</v>
      </c>
      <c r="E1807" s="10" t="str">
        <f>HYPERLINK("https://twitter.com/eclementen/status/1065661705085161473","1065661705085161473")</f>
        <v>1065661705085161473</v>
      </c>
      <c r="F1807" s="12"/>
      <c r="G1807" s="11" t="s">
        <v>6684</v>
      </c>
      <c r="H1807" s="12"/>
      <c r="I1807" s="13">
        <v>0</v>
      </c>
      <c r="J1807" s="13">
        <v>0</v>
      </c>
      <c r="K1807" s="14" t="str">
        <f t="shared" ref="K1807:K1808" si="291">HYPERLINK("http://twitter.com/download/iphone","Twitter for iPhone")</f>
        <v>Twitter for iPhone</v>
      </c>
      <c r="L1807" s="13">
        <v>2201</v>
      </c>
      <c r="M1807" s="13">
        <v>843</v>
      </c>
      <c r="N1807" s="13">
        <v>68</v>
      </c>
      <c r="O1807" s="15"/>
      <c r="P1807" s="6">
        <v>40833.776261574072</v>
      </c>
      <c r="Q1807" s="12"/>
      <c r="R1807" s="18" t="s">
        <v>6685</v>
      </c>
      <c r="S1807" s="12"/>
      <c r="T1807" s="12"/>
      <c r="U1807" s="10" t="str">
        <f>HYPERLINK("https://pbs.twimg.com/profile_images/1026496915016507394/PchQaO9K.jpg","View")</f>
        <v>View</v>
      </c>
    </row>
    <row r="1808" spans="1:21" ht="40.799999999999997">
      <c r="A1808" s="6">
        <v>43426.779108796298</v>
      </c>
      <c r="B1808" s="7" t="str">
        <f>HYPERLINK("https://twitter.com/mariaRo93795987","@mariaRo93795987")</f>
        <v>@mariaRo93795987</v>
      </c>
      <c r="C1808" s="8" t="s">
        <v>6686</v>
      </c>
      <c r="D1808" s="9" t="s">
        <v>6687</v>
      </c>
      <c r="E1808" s="10" t="str">
        <f>HYPERLINK("https://twitter.com/mariaRo93795987/status/1065661667869102082","1065661667869102082")</f>
        <v>1065661667869102082</v>
      </c>
      <c r="F1808" s="11" t="s">
        <v>607</v>
      </c>
      <c r="G1808" s="12"/>
      <c r="H1808" s="12"/>
      <c r="I1808" s="13">
        <v>0</v>
      </c>
      <c r="J1808" s="13">
        <v>0</v>
      </c>
      <c r="K1808" s="14" t="str">
        <f t="shared" si="291"/>
        <v>Twitter for iPhone</v>
      </c>
      <c r="L1808" s="13">
        <v>25</v>
      </c>
      <c r="M1808" s="13">
        <v>87</v>
      </c>
      <c r="N1808" s="13">
        <v>0</v>
      </c>
      <c r="O1808" s="15"/>
      <c r="P1808" s="6">
        <v>43401.312731481477</v>
      </c>
      <c r="Q1808" s="12"/>
      <c r="R1808" s="19"/>
      <c r="S1808" s="12"/>
      <c r="T1808" s="12"/>
      <c r="U1808" s="10" t="str">
        <f>HYPERLINK("https://pbs.twimg.com/profile_images/1056435449986736133/ONRsFRmr.jpg","View")</f>
        <v>View</v>
      </c>
    </row>
    <row r="1809" spans="1:21" ht="51">
      <c r="A1809" s="6">
        <v>43426.778877314813</v>
      </c>
      <c r="B1809" s="7" t="str">
        <f>HYPERLINK("https://twitter.com/solcarreras","@solcarreras")</f>
        <v>@solcarreras</v>
      </c>
      <c r="C1809" s="8" t="s">
        <v>6688</v>
      </c>
      <c r="D1809" s="9" t="s">
        <v>6689</v>
      </c>
      <c r="E1809" s="10" t="str">
        <f>HYPERLINK("https://twitter.com/solcarreras/status/1065661584859635714","1065661584859635714")</f>
        <v>1065661584859635714</v>
      </c>
      <c r="F1809" s="12"/>
      <c r="G1809" s="12"/>
      <c r="H1809" s="12"/>
      <c r="I1809" s="13">
        <v>0</v>
      </c>
      <c r="J1809" s="13">
        <v>0</v>
      </c>
      <c r="K1809" s="14" t="str">
        <f>HYPERLINK("http://twitter.com/download/android","Twitter for Android")</f>
        <v>Twitter for Android</v>
      </c>
      <c r="L1809" s="13">
        <v>182</v>
      </c>
      <c r="M1809" s="13">
        <v>216</v>
      </c>
      <c r="N1809" s="13">
        <v>7</v>
      </c>
      <c r="O1809" s="15"/>
      <c r="P1809" s="6">
        <v>40005.024016203708</v>
      </c>
      <c r="Q1809" s="17" t="s">
        <v>1692</v>
      </c>
      <c r="R1809" s="18" t="s">
        <v>6690</v>
      </c>
      <c r="S1809" s="12"/>
      <c r="T1809" s="12"/>
      <c r="U1809" s="10" t="str">
        <f>HYPERLINK("https://pbs.twimg.com/profile_images/1041799007243255815/_EYwW762.jpg","View")</f>
        <v>View</v>
      </c>
    </row>
    <row r="1810" spans="1:21" ht="40.799999999999997">
      <c r="A1810" s="6">
        <v>43426.778842592597</v>
      </c>
      <c r="B1810" s="7" t="str">
        <f>HYPERLINK("https://twitter.com/jptusquets","@jptusquets")</f>
        <v>@jptusquets</v>
      </c>
      <c r="C1810" s="8" t="s">
        <v>6691</v>
      </c>
      <c r="D1810" s="9" t="s">
        <v>6692</v>
      </c>
      <c r="E1810" s="10" t="str">
        <f>HYPERLINK("https://twitter.com/jptusquets/status/1065661573178499072","1065661573178499072")</f>
        <v>1065661573178499072</v>
      </c>
      <c r="F1810" s="11" t="s">
        <v>6693</v>
      </c>
      <c r="G1810" s="12"/>
      <c r="H1810" s="12"/>
      <c r="I1810" s="13">
        <v>0</v>
      </c>
      <c r="J1810" s="13">
        <v>0</v>
      </c>
      <c r="K1810" s="14" t="str">
        <f>HYPERLINK("http://twitter.com","Twitter Web Client")</f>
        <v>Twitter Web Client</v>
      </c>
      <c r="L1810" s="13">
        <v>1339</v>
      </c>
      <c r="M1810" s="13">
        <v>615</v>
      </c>
      <c r="N1810" s="13">
        <v>58</v>
      </c>
      <c r="O1810" s="15"/>
      <c r="P1810" s="6">
        <v>40422.563518518517</v>
      </c>
      <c r="Q1810" s="17" t="s">
        <v>191</v>
      </c>
      <c r="R1810" s="18" t="s">
        <v>6694</v>
      </c>
      <c r="S1810" s="11" t="s">
        <v>6695</v>
      </c>
      <c r="T1810" s="12"/>
      <c r="U1810" s="10" t="str">
        <f>HYPERLINK("https://pbs.twimg.com/profile_images/1135069820/jpt2.JPG","View")</f>
        <v>View</v>
      </c>
    </row>
    <row r="1811" spans="1:21" ht="30.6">
      <c r="A1811" s="6">
        <v>43426.777939814812</v>
      </c>
      <c r="B1811" s="7" t="str">
        <f>HYPERLINK("https://twitter.com/eclementen","@eclementen")</f>
        <v>@eclementen</v>
      </c>
      <c r="C1811" s="8" t="s">
        <v>6682</v>
      </c>
      <c r="D1811" s="9" t="s">
        <v>6696</v>
      </c>
      <c r="E1811" s="10" t="str">
        <f>HYPERLINK("https://twitter.com/eclementen/status/1065661244743520256","1065661244743520256")</f>
        <v>1065661244743520256</v>
      </c>
      <c r="F1811" s="12"/>
      <c r="G1811" s="11" t="s">
        <v>6697</v>
      </c>
      <c r="H1811" s="12"/>
      <c r="I1811" s="13">
        <v>0</v>
      </c>
      <c r="J1811" s="13">
        <v>0</v>
      </c>
      <c r="K1811" s="14" t="str">
        <f t="shared" ref="K1811:K1812" si="292">HYPERLINK("http://twitter.com/download/iphone","Twitter for iPhone")</f>
        <v>Twitter for iPhone</v>
      </c>
      <c r="L1811" s="13">
        <v>2201</v>
      </c>
      <c r="M1811" s="13">
        <v>843</v>
      </c>
      <c r="N1811" s="13">
        <v>68</v>
      </c>
      <c r="O1811" s="15"/>
      <c r="P1811" s="6">
        <v>40833.776261574072</v>
      </c>
      <c r="Q1811" s="12"/>
      <c r="R1811" s="18" t="s">
        <v>6685</v>
      </c>
      <c r="S1811" s="12"/>
      <c r="T1811" s="12"/>
      <c r="U1811" s="10" t="str">
        <f>HYPERLINK("https://pbs.twimg.com/profile_images/1026496915016507394/PchQaO9K.jpg","View")</f>
        <v>View</v>
      </c>
    </row>
    <row r="1812" spans="1:21" ht="61.2">
      <c r="A1812" s="6">
        <v>43426.776712962965</v>
      </c>
      <c r="B1812" s="7" t="str">
        <f>HYPERLINK("https://twitter.com/enpepes","@enpepes")</f>
        <v>@enpepes</v>
      </c>
      <c r="C1812" s="8" t="s">
        <v>6698</v>
      </c>
      <c r="D1812" s="9" t="s">
        <v>6699</v>
      </c>
      <c r="E1812" s="10" t="str">
        <f>HYPERLINK("https://twitter.com/enpepes/status/1065660800193433606","1065660800193433606")</f>
        <v>1065660800193433606</v>
      </c>
      <c r="F1812" s="17" t="s">
        <v>6700</v>
      </c>
      <c r="G1812" s="12"/>
      <c r="H1812" s="12"/>
      <c r="I1812" s="13">
        <v>0</v>
      </c>
      <c r="J1812" s="13">
        <v>0</v>
      </c>
      <c r="K1812" s="14" t="str">
        <f t="shared" si="292"/>
        <v>Twitter for iPhone</v>
      </c>
      <c r="L1812" s="13">
        <v>1061</v>
      </c>
      <c r="M1812" s="13">
        <v>1735</v>
      </c>
      <c r="N1812" s="13">
        <v>23</v>
      </c>
      <c r="O1812" s="15"/>
      <c r="P1812" s="6">
        <v>41225.548391203702</v>
      </c>
      <c r="Q1812" s="17" t="s">
        <v>6701</v>
      </c>
      <c r="R1812" s="18" t="s">
        <v>6702</v>
      </c>
      <c r="S1812" s="12"/>
      <c r="T1812" s="12"/>
      <c r="U1812" s="10" t="str">
        <f>HYPERLINK("https://pbs.twimg.com/profile_images/971305599014264833/i9h-JCML.jpg","View")</f>
        <v>View</v>
      </c>
    </row>
    <row r="1813" spans="1:21" ht="40.799999999999997">
      <c r="A1813" s="6">
        <v>43426.775393518517</v>
      </c>
      <c r="B1813" s="7" t="str">
        <f>HYPERLINK("https://twitter.com/ADN_CristianoV","@ADN_CristianoV")</f>
        <v>@ADN_CristianoV</v>
      </c>
      <c r="C1813" s="8" t="s">
        <v>1132</v>
      </c>
      <c r="D1813" s="9" t="s">
        <v>6706</v>
      </c>
      <c r="E1813" s="10" t="str">
        <f>HYPERLINK("https://twitter.com/ADN_CristianoV/status/1065660323397550080","1065660323397550080")</f>
        <v>1065660323397550080</v>
      </c>
      <c r="F1813" s="11" t="s">
        <v>6707</v>
      </c>
      <c r="G1813" s="12"/>
      <c r="H1813" s="12"/>
      <c r="I1813" s="13">
        <v>0</v>
      </c>
      <c r="J1813" s="13">
        <v>0</v>
      </c>
      <c r="K1813" s="14" t="str">
        <f>HYPERLINK("http://twitter.com","Twitter Web Client")</f>
        <v>Twitter Web Client</v>
      </c>
      <c r="L1813" s="13">
        <v>4065</v>
      </c>
      <c r="M1813" s="13">
        <v>5001</v>
      </c>
      <c r="N1813" s="13">
        <v>111</v>
      </c>
      <c r="O1813" s="15"/>
      <c r="P1813" s="6">
        <v>40460.653414351851</v>
      </c>
      <c r="Q1813" s="17" t="s">
        <v>1135</v>
      </c>
      <c r="R1813" s="18" t="s">
        <v>1136</v>
      </c>
      <c r="S1813" s="12"/>
      <c r="T1813" s="12"/>
      <c r="U1813" s="10" t="str">
        <f>HYPERLINK("https://pbs.twimg.com/profile_images/941768928472248320/pnoNV_-w.jpg","View")</f>
        <v>View</v>
      </c>
    </row>
    <row r="1814" spans="1:21" ht="30.6">
      <c r="A1814" s="6">
        <v>43426.774837962963</v>
      </c>
      <c r="B1814" s="7" t="str">
        <f>HYPERLINK("https://twitter.com/Karycaicedo","@Karycaicedo")</f>
        <v>@Karycaicedo</v>
      </c>
      <c r="C1814" s="8" t="s">
        <v>5410</v>
      </c>
      <c r="D1814" s="9" t="s">
        <v>6708</v>
      </c>
      <c r="E1814" s="10" t="str">
        <f>HYPERLINK("https://twitter.com/Karycaicedo/status/1065660119445356546","1065660119445356546")</f>
        <v>1065660119445356546</v>
      </c>
      <c r="F1814" s="11" t="s">
        <v>6709</v>
      </c>
      <c r="G1814" s="12"/>
      <c r="H1814" s="12"/>
      <c r="I1814" s="13">
        <v>0</v>
      </c>
      <c r="J1814" s="13">
        <v>1</v>
      </c>
      <c r="K1814" s="14" t="str">
        <f t="shared" ref="K1814:K1815" si="293">HYPERLINK("http://twitter.com/download/android","Twitter for Android")</f>
        <v>Twitter for Android</v>
      </c>
      <c r="L1814" s="13">
        <v>2189</v>
      </c>
      <c r="M1814" s="13">
        <v>2421</v>
      </c>
      <c r="N1814" s="13">
        <v>66</v>
      </c>
      <c r="O1814" s="15"/>
      <c r="P1814" s="6">
        <v>40746.535138888888</v>
      </c>
      <c r="Q1814" s="17" t="s">
        <v>5411</v>
      </c>
      <c r="R1814" s="18" t="s">
        <v>5412</v>
      </c>
      <c r="S1814" s="12"/>
      <c r="T1814" s="12"/>
      <c r="U1814" s="10" t="str">
        <f>HYPERLINK("https://pbs.twimg.com/profile_images/1040548637988855808/_FNQnNG8.jpg","View")</f>
        <v>View</v>
      </c>
    </row>
    <row r="1815" spans="1:21" ht="30.6">
      <c r="A1815" s="6">
        <v>43426.773483796293</v>
      </c>
      <c r="B1815" s="7" t="str">
        <f>HYPERLINK("https://twitter.com/alexfernandez","@alexfernandez")</f>
        <v>@alexfernandez</v>
      </c>
      <c r="C1815" s="8" t="s">
        <v>6710</v>
      </c>
      <c r="D1815" s="9" t="s">
        <v>6711</v>
      </c>
      <c r="E1815" s="10" t="str">
        <f>HYPERLINK("https://twitter.com/alexfernandez/status/1065659629047287808","1065659629047287808")</f>
        <v>1065659629047287808</v>
      </c>
      <c r="F1815" s="12"/>
      <c r="G1815" s="12"/>
      <c r="H1815" s="12"/>
      <c r="I1815" s="13">
        <v>2</v>
      </c>
      <c r="J1815" s="13">
        <v>12</v>
      </c>
      <c r="K1815" s="14" t="str">
        <f t="shared" si="293"/>
        <v>Twitter for Android</v>
      </c>
      <c r="L1815" s="13">
        <v>2094</v>
      </c>
      <c r="M1815" s="13">
        <v>389</v>
      </c>
      <c r="N1815" s="13">
        <v>62</v>
      </c>
      <c r="O1815" s="15"/>
      <c r="P1815" s="6">
        <v>39986.801006944443</v>
      </c>
      <c r="Q1815" s="17" t="s">
        <v>6712</v>
      </c>
      <c r="R1815" s="18" t="s">
        <v>6713</v>
      </c>
      <c r="S1815" s="12"/>
      <c r="T1815" s="12"/>
      <c r="U1815" s="10" t="str">
        <f>HYPERLINK("https://pbs.twimg.com/profile_images/276788259/Dibujo3.jpg","View")</f>
        <v>View</v>
      </c>
    </row>
    <row r="1816" spans="1:21" ht="20.399999999999999">
      <c r="A1816" s="6">
        <v>43426.772349537037</v>
      </c>
      <c r="B1816" s="7" t="str">
        <f>HYPERLINK("https://twitter.com/Suriroa","@Suriroa")</f>
        <v>@Suriroa</v>
      </c>
      <c r="C1816" s="8" t="s">
        <v>6714</v>
      </c>
      <c r="D1816" s="9" t="s">
        <v>2981</v>
      </c>
      <c r="E1816" s="10" t="str">
        <f>HYPERLINK("https://twitter.com/Suriroa/status/1065659218596937728","1065659218596937728")</f>
        <v>1065659218596937728</v>
      </c>
      <c r="F1816" s="11" t="s">
        <v>6715</v>
      </c>
      <c r="G1816" s="12"/>
      <c r="H1816" s="12"/>
      <c r="I1816" s="13">
        <v>0</v>
      </c>
      <c r="J1816" s="13">
        <v>0</v>
      </c>
      <c r="K1816" s="14" t="str">
        <f>HYPERLINK("http://twitter.com","Twitter Web Client")</f>
        <v>Twitter Web Client</v>
      </c>
      <c r="L1816" s="13">
        <v>35</v>
      </c>
      <c r="M1816" s="13">
        <v>161</v>
      </c>
      <c r="N1816" s="13">
        <v>0</v>
      </c>
      <c r="O1816" s="15"/>
      <c r="P1816" s="6">
        <v>40338.957245370373</v>
      </c>
      <c r="Q1816" s="12"/>
      <c r="R1816" s="19"/>
      <c r="S1816" s="12"/>
      <c r="T1816" s="12"/>
      <c r="U1816" s="10" t="str">
        <f>HYPERLINK("https://pbs.twimg.com/profile_images/1039945546444808193/vgDJD4c2.jpg","View")</f>
        <v>View</v>
      </c>
    </row>
    <row r="1817" spans="1:21" ht="40.799999999999997">
      <c r="A1817" s="6">
        <v>43426.772222222222</v>
      </c>
      <c r="B1817" s="7" t="str">
        <f>HYPERLINK("https://twitter.com/hazteoir","@hazteoir")</f>
        <v>@hazteoir</v>
      </c>
      <c r="C1817" s="20" t="s">
        <v>6716</v>
      </c>
      <c r="D1817" s="9" t="s">
        <v>6717</v>
      </c>
      <c r="E1817" s="10" t="str">
        <f>HYPERLINK("https://twitter.com/hazteoir/status/1065659172786749440","1065659172786749440")</f>
        <v>1065659172786749440</v>
      </c>
      <c r="F1817" s="11" t="s">
        <v>6718</v>
      </c>
      <c r="G1817" s="12"/>
      <c r="H1817" s="12"/>
      <c r="I1817" s="13">
        <v>11</v>
      </c>
      <c r="J1817" s="13">
        <v>10</v>
      </c>
      <c r="K1817" s="14" t="str">
        <f>HYPERLINK("https://about.twitter.com/products/tweetdeck","TweetDeck")</f>
        <v>TweetDeck</v>
      </c>
      <c r="L1817" s="13">
        <v>51940</v>
      </c>
      <c r="M1817" s="13">
        <v>1302</v>
      </c>
      <c r="N1817" s="13">
        <v>662</v>
      </c>
      <c r="O1817" s="16" t="s">
        <v>26</v>
      </c>
      <c r="P1817" s="6">
        <v>39651.47347222222</v>
      </c>
      <c r="Q1817" s="17" t="s">
        <v>6719</v>
      </c>
      <c r="R1817" s="18" t="s">
        <v>6720</v>
      </c>
      <c r="S1817" s="11" t="s">
        <v>6721</v>
      </c>
      <c r="T1817" s="12"/>
      <c r="U1817" s="10" t="str">
        <f>HYPERLINK("https://pbs.twimg.com/profile_images/506865978957783040/6Lq5KMRq.png","View")</f>
        <v>View</v>
      </c>
    </row>
    <row r="1818" spans="1:21" ht="30.6">
      <c r="A1818" s="6">
        <v>43426.771006944444</v>
      </c>
      <c r="B1818" s="7" t="str">
        <f>HYPERLINK("https://twitter.com/actuallcom","@actuallcom")</f>
        <v>@actuallcom</v>
      </c>
      <c r="C1818" s="8" t="s">
        <v>6722</v>
      </c>
      <c r="D1818" s="9" t="s">
        <v>6723</v>
      </c>
      <c r="E1818" s="10" t="str">
        <f>HYPERLINK("https://twitter.com/actuallcom/status/1065658732158353408","1065658732158353408")</f>
        <v>1065658732158353408</v>
      </c>
      <c r="F1818" s="11" t="s">
        <v>6724</v>
      </c>
      <c r="G1818" s="12"/>
      <c r="H1818" s="12"/>
      <c r="I1818" s="13">
        <v>1</v>
      </c>
      <c r="J1818" s="13">
        <v>2</v>
      </c>
      <c r="K1818" s="14" t="str">
        <f>HYPERLINK("https://www.hootsuite.com","Hootsuite Inc.")</f>
        <v>Hootsuite Inc.</v>
      </c>
      <c r="L1818" s="13">
        <v>16027</v>
      </c>
      <c r="M1818" s="13">
        <v>751</v>
      </c>
      <c r="N1818" s="13">
        <v>276</v>
      </c>
      <c r="O1818" s="15"/>
      <c r="P1818" s="6">
        <v>41571.89340277778</v>
      </c>
      <c r="Q1818" s="17" t="s">
        <v>141</v>
      </c>
      <c r="R1818" s="18" t="s">
        <v>6725</v>
      </c>
      <c r="S1818" s="11" t="s">
        <v>6726</v>
      </c>
      <c r="T1818" s="12"/>
      <c r="U1818" s="10" t="str">
        <f>HYPERLINK("https://pbs.twimg.com/profile_images/636123121486045184/ubrNIlOW.png","View")</f>
        <v>View</v>
      </c>
    </row>
    <row r="1819" spans="1:21" ht="30.6">
      <c r="A1819" s="6">
        <v>43426.770891203705</v>
      </c>
      <c r="B1819" s="7" t="str">
        <f>HYPERLINK("https://twitter.com/ffbang","@ffbang")</f>
        <v>@ffbang</v>
      </c>
      <c r="C1819" s="8" t="s">
        <v>6727</v>
      </c>
      <c r="D1819" s="9" t="s">
        <v>6728</v>
      </c>
      <c r="E1819" s="10" t="str">
        <f>HYPERLINK("https://twitter.com/ffbang/status/1065658692358553602","1065658692358553602")</f>
        <v>1065658692358553602</v>
      </c>
      <c r="F1819" s="11" t="s">
        <v>753</v>
      </c>
      <c r="G1819" s="12"/>
      <c r="H1819" s="12"/>
      <c r="I1819" s="13">
        <v>0</v>
      </c>
      <c r="J1819" s="13">
        <v>0</v>
      </c>
      <c r="K1819" s="14" t="str">
        <f>HYPERLINK("http://www.facebook.com/twitter","Facebook")</f>
        <v>Facebook</v>
      </c>
      <c r="L1819" s="13">
        <v>73</v>
      </c>
      <c r="M1819" s="13">
        <v>132</v>
      </c>
      <c r="N1819" s="13">
        <v>5</v>
      </c>
      <c r="O1819" s="15"/>
      <c r="P1819" s="6">
        <v>40629.902280092589</v>
      </c>
      <c r="Q1819" s="17" t="s">
        <v>6169</v>
      </c>
      <c r="R1819" s="18" t="s">
        <v>6729</v>
      </c>
      <c r="S1819" s="12"/>
      <c r="T1819" s="12"/>
      <c r="U1819" s="10" t="str">
        <f>HYPERLINK("https://pbs.twimg.com/profile_images/714938582969020416/DJvp7iYY.jpg","View")</f>
        <v>View</v>
      </c>
    </row>
    <row r="1820" spans="1:21" ht="51">
      <c r="A1820" s="6">
        <v>43426.770856481482</v>
      </c>
      <c r="B1820" s="7" t="str">
        <f>HYPERLINK("https://twitter.com/pabloviko6","@pabloviko6")</f>
        <v>@pabloviko6</v>
      </c>
      <c r="C1820" s="8" t="s">
        <v>2365</v>
      </c>
      <c r="D1820" s="9" t="s">
        <v>6730</v>
      </c>
      <c r="E1820" s="10" t="str">
        <f>HYPERLINK("https://twitter.com/pabloviko6/status/1065658676160225281","1065658676160225281")</f>
        <v>1065658676160225281</v>
      </c>
      <c r="F1820" s="12"/>
      <c r="G1820" s="12"/>
      <c r="H1820" s="12"/>
      <c r="I1820" s="13">
        <v>0</v>
      </c>
      <c r="J1820" s="13">
        <v>6</v>
      </c>
      <c r="K1820" s="14" t="str">
        <f>HYPERLINK("http://twitter.com/download/android","Twitter for Android")</f>
        <v>Twitter for Android</v>
      </c>
      <c r="L1820" s="13">
        <v>803</v>
      </c>
      <c r="M1820" s="13">
        <v>997</v>
      </c>
      <c r="N1820" s="13">
        <v>5</v>
      </c>
      <c r="O1820" s="15"/>
      <c r="P1820" s="6">
        <v>40712.640567129631</v>
      </c>
      <c r="Q1820" s="17" t="s">
        <v>6731</v>
      </c>
      <c r="R1820" s="18" t="s">
        <v>6732</v>
      </c>
      <c r="S1820" s="12"/>
      <c r="T1820" s="12"/>
      <c r="U1820" s="10" t="str">
        <f>HYPERLINK("https://pbs.twimg.com/profile_images/817125782065741826/62WAI0Hj.jpg","View")</f>
        <v>View</v>
      </c>
    </row>
    <row r="1821" spans="1:21" ht="51">
      <c r="A1821" s="6">
        <v>43426.770833333328</v>
      </c>
      <c r="B1821" s="7" t="str">
        <f>HYPERLINK("https://twitter.com/Politico_pe","@Politico_pe")</f>
        <v>@Politico_pe</v>
      </c>
      <c r="C1821" s="8" t="s">
        <v>6733</v>
      </c>
      <c r="D1821" s="9" t="s">
        <v>6734</v>
      </c>
      <c r="E1821" s="10" t="str">
        <f>HYPERLINK("https://twitter.com/Politico_pe/status/1065658671764361216","1065658671764361216")</f>
        <v>1065658671764361216</v>
      </c>
      <c r="F1821" s="11" t="s">
        <v>6736</v>
      </c>
      <c r="G1821" s="11" t="s">
        <v>6737</v>
      </c>
      <c r="H1821" s="12"/>
      <c r="I1821" s="13">
        <v>1</v>
      </c>
      <c r="J1821" s="13">
        <v>2</v>
      </c>
      <c r="K1821" s="14" t="str">
        <f>HYPERLINK("https://ads-api.twitter.com","Twitter Ads Composer")</f>
        <v>Twitter Ads Composer</v>
      </c>
      <c r="L1821" s="13">
        <v>33552</v>
      </c>
      <c r="M1821" s="13">
        <v>730</v>
      </c>
      <c r="N1821" s="13">
        <v>170</v>
      </c>
      <c r="O1821" s="15"/>
      <c r="P1821" s="6">
        <v>41718.04828703704</v>
      </c>
      <c r="Q1821" s="12"/>
      <c r="R1821" s="18" t="s">
        <v>6738</v>
      </c>
      <c r="S1821" s="11" t="s">
        <v>6739</v>
      </c>
      <c r="T1821" s="12"/>
      <c r="U1821" s="10" t="str">
        <f>HYPERLINK("https://pbs.twimg.com/profile_images/499569970791972864/Edo9tbzw.jpeg","View")</f>
        <v>View</v>
      </c>
    </row>
    <row r="1822" spans="1:21" ht="30.6">
      <c r="A1822" s="6">
        <v>43426.770601851851</v>
      </c>
      <c r="B1822" s="7" t="str">
        <f>HYPERLINK("https://twitter.com/ffbang","@ffbang")</f>
        <v>@ffbang</v>
      </c>
      <c r="C1822" s="8" t="s">
        <v>6727</v>
      </c>
      <c r="D1822" s="9" t="s">
        <v>6728</v>
      </c>
      <c r="E1822" s="10" t="str">
        <f>HYPERLINK("https://twitter.com/ffbang/status/1065658587756793856","1065658587756793856")</f>
        <v>1065658587756793856</v>
      </c>
      <c r="F1822" s="11" t="s">
        <v>1100</v>
      </c>
      <c r="G1822" s="12"/>
      <c r="H1822" s="12"/>
      <c r="I1822" s="13">
        <v>0</v>
      </c>
      <c r="J1822" s="13">
        <v>0</v>
      </c>
      <c r="K1822" s="14" t="str">
        <f>HYPERLINK("http://www.facebook.com/twitter","Facebook")</f>
        <v>Facebook</v>
      </c>
      <c r="L1822" s="13">
        <v>73</v>
      </c>
      <c r="M1822" s="13">
        <v>132</v>
      </c>
      <c r="N1822" s="13">
        <v>5</v>
      </c>
      <c r="O1822" s="15"/>
      <c r="P1822" s="6">
        <v>40629.902280092589</v>
      </c>
      <c r="Q1822" s="17" t="s">
        <v>6169</v>
      </c>
      <c r="R1822" s="18" t="s">
        <v>6729</v>
      </c>
      <c r="S1822" s="12"/>
      <c r="T1822" s="12"/>
      <c r="U1822" s="10" t="str">
        <f>HYPERLINK("https://pbs.twimg.com/profile_images/714938582969020416/DJvp7iYY.jpg","View")</f>
        <v>View</v>
      </c>
    </row>
    <row r="1823" spans="1:21" ht="30.6">
      <c r="A1823" s="6">
        <v>43426.770578703705</v>
      </c>
      <c r="B1823" s="7" t="str">
        <f>HYPERLINK("https://twitter.com/JaimeBN1987","@JaimeBN1987")</f>
        <v>@JaimeBN1987</v>
      </c>
      <c r="C1823" s="8" t="s">
        <v>658</v>
      </c>
      <c r="D1823" s="9" t="s">
        <v>6740</v>
      </c>
      <c r="E1823" s="10" t="str">
        <f>HYPERLINK("https://twitter.com/JaimeBN1987/status/1065658579133349889","1065658579133349889")</f>
        <v>1065658579133349889</v>
      </c>
      <c r="F1823" s="12"/>
      <c r="G1823" s="11" t="s">
        <v>6742</v>
      </c>
      <c r="H1823" s="12"/>
      <c r="I1823" s="13">
        <v>0</v>
      </c>
      <c r="J1823" s="13">
        <v>0</v>
      </c>
      <c r="K1823" s="14" t="str">
        <f t="shared" ref="K1823:K1824" si="294">HYPERLINK("http://twitter.com/download/android","Twitter for Android")</f>
        <v>Twitter for Android</v>
      </c>
      <c r="L1823" s="13">
        <v>9964</v>
      </c>
      <c r="M1823" s="13">
        <v>3317</v>
      </c>
      <c r="N1823" s="13">
        <v>243</v>
      </c>
      <c r="O1823" s="15"/>
      <c r="P1823" s="6">
        <v>40380.61891203704</v>
      </c>
      <c r="Q1823" s="17" t="s">
        <v>661</v>
      </c>
      <c r="R1823" s="18" t="s">
        <v>662</v>
      </c>
      <c r="S1823" s="11" t="s">
        <v>663</v>
      </c>
      <c r="T1823" s="12"/>
      <c r="U1823" s="10" t="str">
        <f>HYPERLINK("https://pbs.twimg.com/profile_images/1021118024823328768/o-hZEiNo.jpg","View")</f>
        <v>View</v>
      </c>
    </row>
    <row r="1824" spans="1:21" ht="40.799999999999997">
      <c r="A1824" s="6">
        <v>43426.769328703704</v>
      </c>
      <c r="B1824" s="7" t="str">
        <f>HYPERLINK("https://twitter.com/Gualay13","@Gualay13")</f>
        <v>@Gualay13</v>
      </c>
      <c r="C1824" s="8" t="s">
        <v>2158</v>
      </c>
      <c r="D1824" s="9" t="s">
        <v>6745</v>
      </c>
      <c r="E1824" s="10" t="str">
        <f>HYPERLINK("https://twitter.com/Gualay13/status/1065658123917115393","1065658123917115393")</f>
        <v>1065658123917115393</v>
      </c>
      <c r="F1824" s="11" t="s">
        <v>6709</v>
      </c>
      <c r="G1824" s="12"/>
      <c r="H1824" s="12"/>
      <c r="I1824" s="13">
        <v>0</v>
      </c>
      <c r="J1824" s="13">
        <v>1</v>
      </c>
      <c r="K1824" s="14" t="str">
        <f t="shared" si="294"/>
        <v>Twitter for Android</v>
      </c>
      <c r="L1824" s="13">
        <v>2251</v>
      </c>
      <c r="M1824" s="13">
        <v>2986</v>
      </c>
      <c r="N1824" s="13">
        <v>155</v>
      </c>
      <c r="O1824" s="15"/>
      <c r="P1824" s="6">
        <v>42102.978414351848</v>
      </c>
      <c r="Q1824" s="17" t="s">
        <v>2159</v>
      </c>
      <c r="R1824" s="18" t="s">
        <v>2160</v>
      </c>
      <c r="S1824" s="11" t="s">
        <v>2153</v>
      </c>
      <c r="T1824" s="12"/>
      <c r="U1824" s="10" t="str">
        <f>HYPERLINK("https://pbs.twimg.com/profile_images/925455811803013121/jiDpe_Ub.jpg","View")</f>
        <v>View</v>
      </c>
    </row>
    <row r="1825" spans="1:21" ht="30.6">
      <c r="A1825" s="6">
        <v>43426.769270833334</v>
      </c>
      <c r="B1825" s="7" t="str">
        <f>HYPERLINK("https://twitter.com/francotiradort1","@francotiradort1")</f>
        <v>@francotiradort1</v>
      </c>
      <c r="C1825" s="8" t="s">
        <v>6746</v>
      </c>
      <c r="D1825" s="9" t="s">
        <v>6747</v>
      </c>
      <c r="E1825" s="10" t="str">
        <f>HYPERLINK("https://twitter.com/francotiradort1/status/1065658104409456640","1065658104409456640")</f>
        <v>1065658104409456640</v>
      </c>
      <c r="F1825" s="11" t="s">
        <v>6748</v>
      </c>
      <c r="G1825" s="12"/>
      <c r="H1825" s="12"/>
      <c r="I1825" s="13">
        <v>0</v>
      </c>
      <c r="J1825" s="13">
        <v>0</v>
      </c>
      <c r="K1825" s="14" t="str">
        <f>HYPERLINK("http://twitter.com/#!/download/ipad","Twitter for iPad")</f>
        <v>Twitter for iPad</v>
      </c>
      <c r="L1825" s="13">
        <v>1754</v>
      </c>
      <c r="M1825" s="13">
        <v>4323</v>
      </c>
      <c r="N1825" s="13">
        <v>8</v>
      </c>
      <c r="O1825" s="15"/>
      <c r="P1825" s="6">
        <v>40941.780300925922</v>
      </c>
      <c r="Q1825" s="17" t="s">
        <v>6749</v>
      </c>
      <c r="R1825" s="18" t="s">
        <v>6750</v>
      </c>
      <c r="S1825" s="11" t="s">
        <v>6751</v>
      </c>
      <c r="T1825" s="12"/>
      <c r="U1825" s="10" t="str">
        <f>HYPERLINK("https://pbs.twimg.com/profile_images/1047162469804900352/vHwgGYIz.jpg","View")</f>
        <v>View</v>
      </c>
    </row>
    <row r="1826" spans="1:21" ht="40.799999999999997">
      <c r="A1826" s="6">
        <v>43426.769259259258</v>
      </c>
      <c r="B1826" s="7" t="str">
        <f>HYPERLINK("https://twitter.com/Alandalusi7","@Alandalusi7")</f>
        <v>@Alandalusi7</v>
      </c>
      <c r="C1826" s="8" t="s">
        <v>2154</v>
      </c>
      <c r="D1826" s="9" t="s">
        <v>6745</v>
      </c>
      <c r="E1826" s="10" t="str">
        <f>HYPERLINK("https://twitter.com/Alandalusi7/status/1065658100701716481","1065658100701716481")</f>
        <v>1065658100701716481</v>
      </c>
      <c r="F1826" s="11" t="s">
        <v>6709</v>
      </c>
      <c r="G1826" s="12"/>
      <c r="H1826" s="12"/>
      <c r="I1826" s="13">
        <v>0</v>
      </c>
      <c r="J1826" s="13">
        <v>0</v>
      </c>
      <c r="K1826" s="14" t="str">
        <f t="shared" ref="K1826:K1829" si="295">HYPERLINK("http://twitter.com/download/android","Twitter for Android")</f>
        <v>Twitter for Android</v>
      </c>
      <c r="L1826" s="13">
        <v>349</v>
      </c>
      <c r="M1826" s="13">
        <v>678</v>
      </c>
      <c r="N1826" s="13">
        <v>30</v>
      </c>
      <c r="O1826" s="15"/>
      <c r="P1826" s="6">
        <v>42711.478807870371</v>
      </c>
      <c r="Q1826" s="17" t="s">
        <v>2156</v>
      </c>
      <c r="R1826" s="18" t="s">
        <v>2157</v>
      </c>
      <c r="S1826" s="12"/>
      <c r="T1826" s="12"/>
      <c r="U1826" s="10" t="str">
        <f>HYPERLINK("https://pbs.twimg.com/profile_images/925471394904801280/yZ2QvZ3M.jpg","View")</f>
        <v>View</v>
      </c>
    </row>
    <row r="1827" spans="1:21" ht="20.399999999999999">
      <c r="A1827" s="6">
        <v>43426.769189814819</v>
      </c>
      <c r="B1827" s="7" t="str">
        <f>HYPERLINK("https://twitter.com/carmenjr2010","@carmenjr2010")</f>
        <v>@carmenjr2010</v>
      </c>
      <c r="C1827" s="8" t="s">
        <v>6752</v>
      </c>
      <c r="D1827" s="9" t="s">
        <v>6753</v>
      </c>
      <c r="E1827" s="10" t="str">
        <f>HYPERLINK("https://twitter.com/carmenjr2010/status/1065658073698709504","1065658073698709504")</f>
        <v>1065658073698709504</v>
      </c>
      <c r="F1827" s="12"/>
      <c r="G1827" s="11" t="s">
        <v>6754</v>
      </c>
      <c r="H1827" s="12"/>
      <c r="I1827" s="13">
        <v>0</v>
      </c>
      <c r="J1827" s="13">
        <v>0</v>
      </c>
      <c r="K1827" s="14" t="str">
        <f t="shared" si="295"/>
        <v>Twitter for Android</v>
      </c>
      <c r="L1827" s="13">
        <v>82</v>
      </c>
      <c r="M1827" s="13">
        <v>85</v>
      </c>
      <c r="N1827" s="13">
        <v>0</v>
      </c>
      <c r="O1827" s="15"/>
      <c r="P1827" s="6">
        <v>42119.417557870373</v>
      </c>
      <c r="Q1827" s="12"/>
      <c r="R1827" s="19"/>
      <c r="S1827" s="12"/>
      <c r="T1827" s="12"/>
      <c r="U1827" s="10" t="str">
        <f>HYPERLINK("https://pbs.twimg.com/profile_images/591875312880885760/ACSpxEH1.jpg","View")</f>
        <v>View</v>
      </c>
    </row>
    <row r="1828" spans="1:21" ht="30.6">
      <c r="A1828" s="6">
        <v>43426.769189814819</v>
      </c>
      <c r="B1828" s="7" t="str">
        <f>HYPERLINK("https://twitter.com/eltrenesvida","@eltrenesvida")</f>
        <v>@eltrenesvida</v>
      </c>
      <c r="C1828" s="8" t="s">
        <v>2161</v>
      </c>
      <c r="D1828" s="9" t="s">
        <v>6745</v>
      </c>
      <c r="E1828" s="10" t="str">
        <f>HYPERLINK("https://twitter.com/eltrenesvida/status/1065658072683679744","1065658072683679744")</f>
        <v>1065658072683679744</v>
      </c>
      <c r="F1828" s="11" t="s">
        <v>6709</v>
      </c>
      <c r="G1828" s="12"/>
      <c r="H1828" s="12"/>
      <c r="I1828" s="13">
        <v>0</v>
      </c>
      <c r="J1828" s="13">
        <v>1</v>
      </c>
      <c r="K1828" s="14" t="str">
        <f t="shared" si="295"/>
        <v>Twitter for Android</v>
      </c>
      <c r="L1828" s="13">
        <v>60</v>
      </c>
      <c r="M1828" s="13">
        <v>197</v>
      </c>
      <c r="N1828" s="13">
        <v>1</v>
      </c>
      <c r="O1828" s="15"/>
      <c r="P1828" s="6">
        <v>42871.758217592593</v>
      </c>
      <c r="Q1828" s="17" t="s">
        <v>2009</v>
      </c>
      <c r="R1828" s="18" t="s">
        <v>2162</v>
      </c>
      <c r="S1828" s="12"/>
      <c r="T1828" s="12"/>
      <c r="U1828" s="10" t="str">
        <f>HYPERLINK("https://pbs.twimg.com/profile_images/915667269698629634/VmfbSj67.jpg","View")</f>
        <v>View</v>
      </c>
    </row>
    <row r="1829" spans="1:21" ht="40.799999999999997">
      <c r="A1829" s="6">
        <v>43426.769097222219</v>
      </c>
      <c r="B1829" s="7" t="str">
        <f>HYPERLINK("https://twitter.com/SIL_nacional","@SIL_nacional")</f>
        <v>@SIL_nacional</v>
      </c>
      <c r="C1829" s="8" t="s">
        <v>2151</v>
      </c>
      <c r="D1829" s="9" t="s">
        <v>6745</v>
      </c>
      <c r="E1829" s="10" t="str">
        <f>HYPERLINK("https://twitter.com/SIL_nacional/status/1065658041981382657","1065658041981382657")</f>
        <v>1065658041981382657</v>
      </c>
      <c r="F1829" s="11" t="s">
        <v>6709</v>
      </c>
      <c r="G1829" s="12"/>
      <c r="H1829" s="12"/>
      <c r="I1829" s="13">
        <v>1</v>
      </c>
      <c r="J1829" s="13">
        <v>2</v>
      </c>
      <c r="K1829" s="14" t="str">
        <f t="shared" si="295"/>
        <v>Twitter for Android</v>
      </c>
      <c r="L1829" s="13">
        <v>284</v>
      </c>
      <c r="M1829" s="13">
        <v>1152</v>
      </c>
      <c r="N1829" s="13">
        <v>7</v>
      </c>
      <c r="O1829" s="15"/>
      <c r="P1829" s="6">
        <v>43279.81251157407</v>
      </c>
      <c r="Q1829" s="17" t="s">
        <v>619</v>
      </c>
      <c r="R1829" s="18" t="s">
        <v>2152</v>
      </c>
      <c r="S1829" s="11" t="s">
        <v>2153</v>
      </c>
      <c r="T1829" s="12"/>
      <c r="U1829" s="10" t="str">
        <f>HYPERLINK("https://pbs.twimg.com/profile_images/1012445997945978880/2-Alix5s.jpg","View")</f>
        <v>View</v>
      </c>
    </row>
    <row r="1830" spans="1:21" ht="81.599999999999994">
      <c r="A1830" s="6">
        <v>43426.768993055557</v>
      </c>
      <c r="B1830" s="7" t="str">
        <f>HYPERLINK("https://twitter.com/hecluj","@hecluj")</f>
        <v>@hecluj</v>
      </c>
      <c r="C1830" s="8" t="s">
        <v>6755</v>
      </c>
      <c r="D1830" s="9" t="s">
        <v>6756</v>
      </c>
      <c r="E1830" s="10" t="str">
        <f>HYPERLINK("https://twitter.com/hecluj/status/1065658001825193985","1065658001825193985")</f>
        <v>1065658001825193985</v>
      </c>
      <c r="F1830" s="11" t="s">
        <v>443</v>
      </c>
      <c r="G1830" s="11" t="s">
        <v>444</v>
      </c>
      <c r="H1830" s="12"/>
      <c r="I1830" s="13">
        <v>0</v>
      </c>
      <c r="J1830" s="13">
        <v>0</v>
      </c>
      <c r="K1830" s="14" t="str">
        <f>HYPERLINK("http://twitter.com","Twitter Web Client")</f>
        <v>Twitter Web Client</v>
      </c>
      <c r="L1830" s="13">
        <v>410</v>
      </c>
      <c r="M1830" s="13">
        <v>1122</v>
      </c>
      <c r="N1830" s="13">
        <v>1</v>
      </c>
      <c r="O1830" s="15"/>
      <c r="P1830" s="6">
        <v>40038.863923611112</v>
      </c>
      <c r="Q1830" s="17" t="s">
        <v>6757</v>
      </c>
      <c r="R1830" s="18" t="s">
        <v>6758</v>
      </c>
      <c r="S1830" s="12"/>
      <c r="T1830" s="12"/>
      <c r="U1830" s="10" t="str">
        <f>HYPERLINK("https://pbs.twimg.com/profile_images/378800000542022280/1c800e8b8bcedeb64ac0334d7cc42520.jpeg","View")</f>
        <v>View</v>
      </c>
    </row>
    <row r="1831" spans="1:21" ht="20.399999999999999">
      <c r="A1831" s="6">
        <v>43426.768275462964</v>
      </c>
      <c r="B1831" s="7" t="str">
        <f>HYPERLINK("https://twitter.com/Cuasor","@Cuasor")</f>
        <v>@Cuasor</v>
      </c>
      <c r="C1831" s="8" t="s">
        <v>6759</v>
      </c>
      <c r="D1831" s="9" t="s">
        <v>1548</v>
      </c>
      <c r="E1831" s="10" t="str">
        <f>HYPERLINK("https://twitter.com/Cuasor/status/1065657741975404545","1065657741975404545")</f>
        <v>1065657741975404545</v>
      </c>
      <c r="F1831" s="11" t="s">
        <v>3759</v>
      </c>
      <c r="G1831" s="12"/>
      <c r="H1831" s="12"/>
      <c r="I1831" s="13">
        <v>0</v>
      </c>
      <c r="J1831" s="13">
        <v>0</v>
      </c>
      <c r="K1831" s="14" t="str">
        <f>HYPERLINK("http://tapbots.com/tweetbot","Tweetbot for iΟS")</f>
        <v>Tweetbot for iΟS</v>
      </c>
      <c r="L1831" s="13">
        <v>163</v>
      </c>
      <c r="M1831" s="13">
        <v>553</v>
      </c>
      <c r="N1831" s="13">
        <v>4</v>
      </c>
      <c r="O1831" s="15"/>
      <c r="P1831" s="6">
        <v>40132.829560185186</v>
      </c>
      <c r="Q1831" s="12"/>
      <c r="R1831" s="19"/>
      <c r="S1831" s="12"/>
      <c r="T1831" s="12"/>
      <c r="U1831" s="10" t="str">
        <f>HYPERLINK("https://pbs.twimg.com/profile_images/948658949234089987/qjXZdpWp.jpg","View")</f>
        <v>View</v>
      </c>
    </row>
    <row r="1832" spans="1:21" ht="40.799999999999997">
      <c r="A1832" s="6">
        <v>43426.767881944441</v>
      </c>
      <c r="B1832" s="7" t="str">
        <f>HYPERLINK("https://twitter.com/mjguzman2010","@mjguzman2010")</f>
        <v>@mjguzman2010</v>
      </c>
      <c r="C1832" s="8" t="s">
        <v>6760</v>
      </c>
      <c r="D1832" s="9" t="s">
        <v>6761</v>
      </c>
      <c r="E1832" s="10" t="str">
        <f>HYPERLINK("https://twitter.com/mjguzman2010/status/1065657599889235969","1065657599889235969")</f>
        <v>1065657599889235969</v>
      </c>
      <c r="F1832" s="12"/>
      <c r="G1832" s="11" t="s">
        <v>6762</v>
      </c>
      <c r="H1832" s="12"/>
      <c r="I1832" s="13">
        <v>0</v>
      </c>
      <c r="J1832" s="13">
        <v>1</v>
      </c>
      <c r="K1832" s="14" t="str">
        <f>HYPERLINK("http://twitter.com/download/android","Twitter for Android")</f>
        <v>Twitter for Android</v>
      </c>
      <c r="L1832" s="13">
        <v>532</v>
      </c>
      <c r="M1832" s="13">
        <v>506</v>
      </c>
      <c r="N1832" s="13">
        <v>14</v>
      </c>
      <c r="O1832" s="15"/>
      <c r="P1832" s="6">
        <v>41784.918877314813</v>
      </c>
      <c r="Q1832" s="17" t="s">
        <v>6763</v>
      </c>
      <c r="R1832" s="18" t="s">
        <v>6764</v>
      </c>
      <c r="S1832" s="12"/>
      <c r="T1832" s="12"/>
      <c r="U1832" s="10" t="str">
        <f>HYPERLINK("https://pbs.twimg.com/profile_images/470658719890808832/pJzcuvSu.jpeg","View")</f>
        <v>View</v>
      </c>
    </row>
    <row r="1833" spans="1:21" ht="30.6">
      <c r="A1833" s="6">
        <v>43426.767372685186</v>
      </c>
      <c r="B1833" s="7" t="str">
        <f>HYPERLINK("https://twitter.com/Morgana42441650","@Morgana42441650")</f>
        <v>@Morgana42441650</v>
      </c>
      <c r="C1833" s="8" t="s">
        <v>6561</v>
      </c>
      <c r="D1833" s="9" t="s">
        <v>6562</v>
      </c>
      <c r="E1833" s="10" t="str">
        <f>HYPERLINK("https://twitter.com/Morgana42441650/status/1065657415704748032","1065657415704748032")</f>
        <v>1065657415704748032</v>
      </c>
      <c r="F1833" s="11" t="s">
        <v>6563</v>
      </c>
      <c r="G1833" s="12"/>
      <c r="H1833" s="12"/>
      <c r="I1833" s="13">
        <v>0</v>
      </c>
      <c r="J1833" s="13">
        <v>0</v>
      </c>
      <c r="K1833" s="14" t="str">
        <f t="shared" ref="K1833:K1834" si="296">HYPERLINK("http://twitter.com","Twitter Web Client")</f>
        <v>Twitter Web Client</v>
      </c>
      <c r="L1833" s="13">
        <v>1</v>
      </c>
      <c r="M1833" s="13">
        <v>5</v>
      </c>
      <c r="N1833" s="13">
        <v>0</v>
      </c>
      <c r="O1833" s="15"/>
      <c r="P1833" s="6">
        <v>43426.698136574079</v>
      </c>
      <c r="Q1833" s="12"/>
      <c r="R1833" s="19"/>
      <c r="S1833" s="12"/>
      <c r="T1833" s="12"/>
      <c r="U1833" s="10" t="str">
        <f>HYPERLINK("https://pbs.twimg.com/profile_images/1065639734813384704/a-2-7j2Q.jpg","View")</f>
        <v>View</v>
      </c>
    </row>
    <row r="1834" spans="1:21" ht="20.399999999999999">
      <c r="A1834" s="6">
        <v>43426.766909722224</v>
      </c>
      <c r="B1834" s="7" t="str">
        <f>HYPERLINK("https://twitter.com/faustomochales","@faustomochales")</f>
        <v>@faustomochales</v>
      </c>
      <c r="C1834" s="8" t="s">
        <v>6767</v>
      </c>
      <c r="D1834" s="9" t="s">
        <v>6745</v>
      </c>
      <c r="E1834" s="10" t="str">
        <f>HYPERLINK("https://twitter.com/faustomochales/status/1065657249132093443","1065657249132093443")</f>
        <v>1065657249132093443</v>
      </c>
      <c r="F1834" s="11" t="s">
        <v>6709</v>
      </c>
      <c r="G1834" s="12"/>
      <c r="H1834" s="12"/>
      <c r="I1834" s="13">
        <v>1</v>
      </c>
      <c r="J1834" s="13">
        <v>1</v>
      </c>
      <c r="K1834" s="14" t="str">
        <f t="shared" si="296"/>
        <v>Twitter Web Client</v>
      </c>
      <c r="L1834" s="13">
        <v>802</v>
      </c>
      <c r="M1834" s="13">
        <v>683</v>
      </c>
      <c r="N1834" s="13">
        <v>6</v>
      </c>
      <c r="O1834" s="15"/>
      <c r="P1834" s="6">
        <v>40760.629814814813</v>
      </c>
      <c r="Q1834" s="12"/>
      <c r="R1834" s="18" t="s">
        <v>6768</v>
      </c>
      <c r="S1834" s="12"/>
      <c r="T1834" s="12"/>
      <c r="U1834" s="10" t="str">
        <f>HYPERLINK("https://pbs.twimg.com/profile_images/966074949495611393/NOGm3hc4.jpg","View")</f>
        <v>View</v>
      </c>
    </row>
    <row r="1835" spans="1:21" ht="30.6">
      <c r="A1835" s="6">
        <v>43426.766493055555</v>
      </c>
      <c r="B1835" s="7" t="str">
        <f>HYPERLINK("https://twitter.com/fgbfrancisco","@fgbfrancisco")</f>
        <v>@fgbfrancisco</v>
      </c>
      <c r="C1835" s="8" t="s">
        <v>6769</v>
      </c>
      <c r="D1835" s="9" t="s">
        <v>6770</v>
      </c>
      <c r="E1835" s="10" t="str">
        <f>HYPERLINK("https://twitter.com/fgbfrancisco/status/1065657094987231234","1065657094987231234")</f>
        <v>1065657094987231234</v>
      </c>
      <c r="F1835" s="11" t="s">
        <v>6346</v>
      </c>
      <c r="G1835" s="12"/>
      <c r="H1835" s="12"/>
      <c r="I1835" s="13">
        <v>0</v>
      </c>
      <c r="J1835" s="13">
        <v>1</v>
      </c>
      <c r="K1835" s="14" t="str">
        <f>HYPERLINK("http://twitter.com/#!/download/ipad","Twitter for iPad")</f>
        <v>Twitter for iPad</v>
      </c>
      <c r="L1835" s="13">
        <v>3720</v>
      </c>
      <c r="M1835" s="13">
        <v>4862</v>
      </c>
      <c r="N1835" s="13">
        <v>36</v>
      </c>
      <c r="O1835" s="15"/>
      <c r="P1835" s="6">
        <v>41240.960752314815</v>
      </c>
      <c r="Q1835" s="17" t="s">
        <v>6771</v>
      </c>
      <c r="R1835" s="18" t="s">
        <v>6772</v>
      </c>
      <c r="S1835" s="11" t="s">
        <v>6773</v>
      </c>
      <c r="T1835" s="12"/>
      <c r="U1835" s="10" t="str">
        <f>HYPERLINK("https://pbs.twimg.com/profile_images/1024702282426982403/rkhRG7xt.jpg","View")</f>
        <v>View</v>
      </c>
    </row>
    <row r="1836" spans="1:21" ht="40.799999999999997">
      <c r="A1836" s="6">
        <v>43426.765960648147</v>
      </c>
      <c r="B1836" s="7" t="str">
        <f>HYPERLINK("https://twitter.com/hborsja95","@hborsja95")</f>
        <v>@hborsja95</v>
      </c>
      <c r="C1836" s="8" t="s">
        <v>6774</v>
      </c>
      <c r="D1836" s="9" t="s">
        <v>6775</v>
      </c>
      <c r="E1836" s="10" t="str">
        <f>HYPERLINK("https://twitter.com/hborsja95/status/1065656905585106945","1065656905585106945")</f>
        <v>1065656905585106945</v>
      </c>
      <c r="F1836" s="12"/>
      <c r="G1836" s="12"/>
      <c r="H1836" s="12"/>
      <c r="I1836" s="13">
        <v>0</v>
      </c>
      <c r="J1836" s="13">
        <v>1</v>
      </c>
      <c r="K1836" s="14" t="str">
        <f>HYPERLINK("http://twitter.com","Twitter Web Client")</f>
        <v>Twitter Web Client</v>
      </c>
      <c r="L1836" s="13">
        <v>201</v>
      </c>
      <c r="M1836" s="13">
        <v>250</v>
      </c>
      <c r="N1836" s="13">
        <v>3</v>
      </c>
      <c r="O1836" s="15"/>
      <c r="P1836" s="6">
        <v>41388.011423611111</v>
      </c>
      <c r="Q1836" s="12"/>
      <c r="R1836" s="18" t="s">
        <v>6776</v>
      </c>
      <c r="S1836" s="12"/>
      <c r="T1836" s="12"/>
      <c r="U1836" s="10" t="str">
        <f>HYPERLINK("https://pbs.twimg.com/profile_images/1027579657716162561/tdU7Um32.jpg","View")</f>
        <v>View</v>
      </c>
    </row>
    <row r="1837" spans="1:21" ht="30.6">
      <c r="A1837" s="6">
        <v>43426.765335648146</v>
      </c>
      <c r="B1837" s="7" t="str">
        <f>HYPERLINK("https://twitter.com/Conducetuciudad","@Conducetuciudad")</f>
        <v>@Conducetuciudad</v>
      </c>
      <c r="C1837" s="8" t="s">
        <v>6777</v>
      </c>
      <c r="D1837" s="9" t="s">
        <v>6778</v>
      </c>
      <c r="E1837" s="10" t="str">
        <f>HYPERLINK("https://twitter.com/Conducetuciudad/status/1065656677418991622","1065656677418991622")</f>
        <v>1065656677418991622</v>
      </c>
      <c r="F1837" s="11" t="s">
        <v>6779</v>
      </c>
      <c r="G1837" s="11" t="s">
        <v>6780</v>
      </c>
      <c r="H1837" s="12"/>
      <c r="I1837" s="13">
        <v>2</v>
      </c>
      <c r="J1837" s="13">
        <v>2</v>
      </c>
      <c r="K1837" s="14" t="str">
        <f>HYPERLINK("https://dlvrit.com/","dlvr.it")</f>
        <v>dlvr.it</v>
      </c>
      <c r="L1837" s="13">
        <v>867</v>
      </c>
      <c r="M1837" s="13">
        <v>792</v>
      </c>
      <c r="N1837" s="13">
        <v>15</v>
      </c>
      <c r="O1837" s="15"/>
      <c r="P1837" s="6">
        <v>41749.739641203705</v>
      </c>
      <c r="Q1837" s="12"/>
      <c r="R1837" s="18" t="s">
        <v>6781</v>
      </c>
      <c r="S1837" s="11" t="s">
        <v>6782</v>
      </c>
      <c r="T1837" s="12"/>
      <c r="U1837" s="10" t="str">
        <f>HYPERLINK("https://pbs.twimg.com/profile_images/844093835043135488/4kS1wjzG.jpg","View")</f>
        <v>View</v>
      </c>
    </row>
    <row r="1838" spans="1:21" ht="30.6">
      <c r="A1838" s="6">
        <v>43426.764999999999</v>
      </c>
      <c r="B1838" s="7" t="str">
        <f>HYPERLINK("https://twitter.com/Jorosa47","@Jorosa47")</f>
        <v>@Jorosa47</v>
      </c>
      <c r="C1838" s="8" t="s">
        <v>1170</v>
      </c>
      <c r="D1838" s="9" t="s">
        <v>1330</v>
      </c>
      <c r="E1838" s="10" t="str">
        <f>HYPERLINK("https://twitter.com/Jorosa47/status/1065656555318714368","1065656555318714368")</f>
        <v>1065656555318714368</v>
      </c>
      <c r="F1838" s="11" t="s">
        <v>1331</v>
      </c>
      <c r="G1838" s="12"/>
      <c r="H1838" s="12"/>
      <c r="I1838" s="13">
        <v>1</v>
      </c>
      <c r="J1838" s="13">
        <v>0</v>
      </c>
      <c r="K1838" s="14" t="str">
        <f>HYPERLINK("http://twitter.com/download/android","Twitter for Android")</f>
        <v>Twitter for Android</v>
      </c>
      <c r="L1838" s="13">
        <v>664</v>
      </c>
      <c r="M1838" s="13">
        <v>663</v>
      </c>
      <c r="N1838" s="13">
        <v>3</v>
      </c>
      <c r="O1838" s="15"/>
      <c r="P1838" s="6">
        <v>42433.491261574076</v>
      </c>
      <c r="Q1838" s="12"/>
      <c r="R1838" s="18" t="s">
        <v>1173</v>
      </c>
      <c r="S1838" s="12"/>
      <c r="T1838" s="12"/>
      <c r="U1838" s="10" t="str">
        <f>HYPERLINK("https://pbs.twimg.com/profile_images/982553609811439616/3TISSh9b.jpg","View")</f>
        <v>View</v>
      </c>
    </row>
    <row r="1839" spans="1:21" ht="81.599999999999994">
      <c r="A1839" s="6">
        <v>43426.764768518522</v>
      </c>
      <c r="B1839" s="7" t="str">
        <f>HYPERLINK("https://twitter.com/josegallego81","@josegallego81")</f>
        <v>@josegallego81</v>
      </c>
      <c r="C1839" s="8" t="s">
        <v>6783</v>
      </c>
      <c r="D1839" s="9" t="s">
        <v>6784</v>
      </c>
      <c r="E1839" s="10" t="str">
        <f>HYPERLINK("https://twitter.com/josegallego81/status/1065656472485285888","1065656472485285888")</f>
        <v>1065656472485285888</v>
      </c>
      <c r="F1839" s="17" t="s">
        <v>6785</v>
      </c>
      <c r="G1839" s="12"/>
      <c r="H1839" s="12"/>
      <c r="I1839" s="13">
        <v>0</v>
      </c>
      <c r="J1839" s="13">
        <v>0</v>
      </c>
      <c r="K1839" s="14" t="str">
        <f>HYPERLINK("http://twitter.com/download/iphone","Twitter for iPhone")</f>
        <v>Twitter for iPhone</v>
      </c>
      <c r="L1839" s="13">
        <v>1118</v>
      </c>
      <c r="M1839" s="13">
        <v>846</v>
      </c>
      <c r="N1839" s="13">
        <v>65</v>
      </c>
      <c r="O1839" s="15"/>
      <c r="P1839" s="6">
        <v>40321.774629629632</v>
      </c>
      <c r="Q1839" s="17" t="s">
        <v>3997</v>
      </c>
      <c r="R1839" s="18" t="s">
        <v>6786</v>
      </c>
      <c r="S1839" s="11" t="s">
        <v>6787</v>
      </c>
      <c r="T1839" s="12"/>
      <c r="U1839" s="10" t="str">
        <f>HYPERLINK("https://pbs.twimg.com/profile_images/999121520000581632/adXsxT9p.jpg","View")</f>
        <v>View</v>
      </c>
    </row>
    <row r="1840" spans="1:21" ht="20.399999999999999">
      <c r="A1840" s="6">
        <v>43426.76363425926</v>
      </c>
      <c r="B1840" s="7" t="str">
        <f>HYPERLINK("https://twitter.com/anazoco","@anazoco")</f>
        <v>@anazoco</v>
      </c>
      <c r="C1840" s="8" t="s">
        <v>6788</v>
      </c>
      <c r="D1840" s="9" t="s">
        <v>5808</v>
      </c>
      <c r="E1840" s="10" t="str">
        <f>HYPERLINK("https://twitter.com/anazoco/status/1065656061716324352","1065656061716324352")</f>
        <v>1065656061716324352</v>
      </c>
      <c r="F1840" s="11" t="s">
        <v>5809</v>
      </c>
      <c r="G1840" s="12"/>
      <c r="H1840" s="12"/>
      <c r="I1840" s="13">
        <v>0</v>
      </c>
      <c r="J1840" s="13">
        <v>0</v>
      </c>
      <c r="K1840" s="14" t="str">
        <f>HYPERLINK("http://twitter.com","Twitter Web Client")</f>
        <v>Twitter Web Client</v>
      </c>
      <c r="L1840" s="13">
        <v>638</v>
      </c>
      <c r="M1840" s="13">
        <v>866</v>
      </c>
      <c r="N1840" s="13">
        <v>5</v>
      </c>
      <c r="O1840" s="15"/>
      <c r="P1840" s="6">
        <v>41283.656331018516</v>
      </c>
      <c r="Q1840" s="17" t="s">
        <v>6789</v>
      </c>
      <c r="R1840" s="18" t="s">
        <v>6790</v>
      </c>
      <c r="S1840" s="12"/>
      <c r="T1840" s="12"/>
      <c r="U1840" s="10" t="str">
        <f>HYPERLINK("https://pbs.twimg.com/profile_images/460004045281693696/w55BXjD3.jpeg","View")</f>
        <v>View</v>
      </c>
    </row>
    <row r="1841" spans="1:21" ht="20.399999999999999">
      <c r="A1841" s="6">
        <v>43426.763067129628</v>
      </c>
      <c r="B1841" s="7" t="str">
        <f>HYPERLINK("https://twitter.com/Castro_Mas_Cota","@Castro_Mas_Cota")</f>
        <v>@Castro_Mas_Cota</v>
      </c>
      <c r="C1841" s="8" t="s">
        <v>3201</v>
      </c>
      <c r="D1841" s="9" t="s">
        <v>6791</v>
      </c>
      <c r="E1841" s="10" t="str">
        <f>HYPERLINK("https://twitter.com/Castro_Mas_Cota/status/1065655854685409280","1065655854685409280")</f>
        <v>1065655854685409280</v>
      </c>
      <c r="F1841" s="12"/>
      <c r="G1841" s="11" t="s">
        <v>6792</v>
      </c>
      <c r="H1841" s="12"/>
      <c r="I1841" s="13">
        <v>1</v>
      </c>
      <c r="J1841" s="13">
        <v>2</v>
      </c>
      <c r="K1841" s="14" t="str">
        <f>HYPERLINK("http://twitter.com/download/android","Twitter for Android")</f>
        <v>Twitter for Android</v>
      </c>
      <c r="L1841" s="13">
        <v>2282</v>
      </c>
      <c r="M1841" s="13">
        <v>859</v>
      </c>
      <c r="N1841" s="13">
        <v>15</v>
      </c>
      <c r="O1841" s="15"/>
      <c r="P1841" s="6">
        <v>42645.586875000001</v>
      </c>
      <c r="Q1841" s="12"/>
      <c r="R1841" s="18" t="s">
        <v>3203</v>
      </c>
      <c r="S1841" s="12"/>
      <c r="T1841" s="12"/>
      <c r="U1841" s="10" t="str">
        <f>HYPERLINK("https://pbs.twimg.com/profile_images/1063845152949772289/fTxkzam5.jpg","View")</f>
        <v>View</v>
      </c>
    </row>
    <row r="1842" spans="1:21" ht="40.799999999999997">
      <c r="A1842" s="6">
        <v>43426.762685185182</v>
      </c>
      <c r="B1842" s="7" t="str">
        <f>HYPERLINK("https://twitter.com/tiototo1619","@tiototo1619")</f>
        <v>@tiototo1619</v>
      </c>
      <c r="C1842" s="8" t="s">
        <v>6793</v>
      </c>
      <c r="D1842" s="9" t="s">
        <v>5952</v>
      </c>
      <c r="E1842" s="10" t="str">
        <f>HYPERLINK("https://twitter.com/tiototo1619/status/1065655716453777408","1065655716453777408")</f>
        <v>1065655716453777408</v>
      </c>
      <c r="F1842" s="11" t="s">
        <v>391</v>
      </c>
      <c r="G1842" s="12"/>
      <c r="H1842" s="12"/>
      <c r="I1842" s="13">
        <v>0</v>
      </c>
      <c r="J1842" s="13">
        <v>0</v>
      </c>
      <c r="K1842" s="14" t="str">
        <f>HYPERLINK("http://twitter.com","Twitter Web Client")</f>
        <v>Twitter Web Client</v>
      </c>
      <c r="L1842" s="13">
        <v>13479</v>
      </c>
      <c r="M1842" s="13">
        <v>13201</v>
      </c>
      <c r="N1842" s="13">
        <v>58</v>
      </c>
      <c r="O1842" s="15"/>
      <c r="P1842" s="6">
        <v>40317.271689814814</v>
      </c>
      <c r="Q1842" s="17" t="s">
        <v>104</v>
      </c>
      <c r="R1842" s="18" t="s">
        <v>6794</v>
      </c>
      <c r="S1842" s="11" t="s">
        <v>6795</v>
      </c>
      <c r="T1842" s="12"/>
      <c r="U1842" s="10" t="str">
        <f>HYPERLINK("https://pbs.twimg.com/profile_images/947868384779296768/6eN-3lEd.jpg","View")</f>
        <v>View</v>
      </c>
    </row>
    <row r="1843" spans="1:21" ht="20.399999999999999">
      <c r="A1843" s="6">
        <v>43426.76262731482</v>
      </c>
      <c r="B1843" s="7" t="str">
        <f>HYPERLINK("https://twitter.com/noeliadguez45","@noeliadguez45")</f>
        <v>@noeliadguez45</v>
      </c>
      <c r="C1843" s="8" t="s">
        <v>6796</v>
      </c>
      <c r="D1843" s="9" t="s">
        <v>6797</v>
      </c>
      <c r="E1843" s="10" t="str">
        <f>HYPERLINK("https://twitter.com/noeliadguez45/status/1065655695557738497","1065655695557738497")</f>
        <v>1065655695557738497</v>
      </c>
      <c r="F1843" s="12"/>
      <c r="G1843" s="12"/>
      <c r="H1843" s="12"/>
      <c r="I1843" s="13">
        <v>4</v>
      </c>
      <c r="J1843" s="13">
        <v>2</v>
      </c>
      <c r="K1843" s="14" t="str">
        <f t="shared" ref="K1843:K1844" si="297">HYPERLINK("http://twitter.com/download/android","Twitter for Android")</f>
        <v>Twitter for Android</v>
      </c>
      <c r="L1843" s="13">
        <v>1056</v>
      </c>
      <c r="M1843" s="13">
        <v>1440</v>
      </c>
      <c r="N1843" s="13">
        <v>17</v>
      </c>
      <c r="O1843" s="15"/>
      <c r="P1843" s="6">
        <v>41587.824166666665</v>
      </c>
      <c r="Q1843" s="12"/>
      <c r="R1843" s="18" t="s">
        <v>6798</v>
      </c>
      <c r="S1843" s="12"/>
      <c r="T1843" s="12"/>
      <c r="U1843" s="10" t="str">
        <f>HYPERLINK("https://pbs.twimg.com/profile_images/961020703943340032/Oxy_77DR.jpg","View")</f>
        <v>View</v>
      </c>
    </row>
    <row r="1844" spans="1:21" ht="51">
      <c r="A1844" s="6">
        <v>43426.762604166666</v>
      </c>
      <c r="B1844" s="7" t="str">
        <f>HYPERLINK("https://twitter.com/ABenitez_Lopez","@ABenitez_Lopez")</f>
        <v>@ABenitez_Lopez</v>
      </c>
      <c r="C1844" s="8" t="s">
        <v>6799</v>
      </c>
      <c r="D1844" s="9" t="s">
        <v>6800</v>
      </c>
      <c r="E1844" s="10" t="str">
        <f>HYPERLINK("https://twitter.com/ABenitez_Lopez/status/1065655688658132994","1065655688658132994")</f>
        <v>1065655688658132994</v>
      </c>
      <c r="F1844" s="12"/>
      <c r="G1844" s="11" t="s">
        <v>6801</v>
      </c>
      <c r="H1844" s="12"/>
      <c r="I1844" s="13">
        <v>103</v>
      </c>
      <c r="J1844" s="13">
        <v>94</v>
      </c>
      <c r="K1844" s="14" t="str">
        <f t="shared" si="297"/>
        <v>Twitter for Android</v>
      </c>
      <c r="L1844" s="13">
        <v>12927</v>
      </c>
      <c r="M1844" s="13">
        <v>1811</v>
      </c>
      <c r="N1844" s="13">
        <v>39</v>
      </c>
      <c r="O1844" s="15"/>
      <c r="P1844" s="6">
        <v>41427.59951388889</v>
      </c>
      <c r="Q1844" s="17" t="s">
        <v>392</v>
      </c>
      <c r="R1844" s="18" t="s">
        <v>6802</v>
      </c>
      <c r="S1844" s="11" t="s">
        <v>6803</v>
      </c>
      <c r="T1844" s="12"/>
      <c r="U1844" s="10" t="str">
        <f>HYPERLINK("https://pbs.twimg.com/profile_images/1055126204980912128/FmJzcCFg.jpg","View")</f>
        <v>View</v>
      </c>
    </row>
    <row r="1845" spans="1:21" ht="13.2">
      <c r="A1845" s="6">
        <v>43426.762280092589</v>
      </c>
      <c r="B1845" s="7" t="str">
        <f>HYPERLINK("https://twitter.com/francisco120282","@francisco120282")</f>
        <v>@francisco120282</v>
      </c>
      <c r="C1845" s="8" t="s">
        <v>360</v>
      </c>
      <c r="D1845" s="9" t="s">
        <v>6804</v>
      </c>
      <c r="E1845" s="10" t="str">
        <f>HYPERLINK("https://twitter.com/francisco120282/status/1065655568109584384","1065655568109584384")</f>
        <v>1065655568109584384</v>
      </c>
      <c r="F1845" s="11" t="s">
        <v>6805</v>
      </c>
      <c r="G1845" s="12"/>
      <c r="H1845" s="12"/>
      <c r="I1845" s="13">
        <v>0</v>
      </c>
      <c r="J1845" s="13">
        <v>0</v>
      </c>
      <c r="K1845" s="14" t="str">
        <f t="shared" ref="K1845:K1847" si="298">HYPERLINK("http://twitter.com","Twitter Web Client")</f>
        <v>Twitter Web Client</v>
      </c>
      <c r="L1845" s="13">
        <v>362</v>
      </c>
      <c r="M1845" s="13">
        <v>2069</v>
      </c>
      <c r="N1845" s="13">
        <v>2</v>
      </c>
      <c r="O1845" s="15"/>
      <c r="P1845" s="6">
        <v>40128.560601851852</v>
      </c>
      <c r="Q1845" s="17" t="s">
        <v>363</v>
      </c>
      <c r="R1845" s="18" t="s">
        <v>364</v>
      </c>
      <c r="S1845" s="12"/>
      <c r="T1845" s="12"/>
      <c r="U1845" s="10" t="str">
        <f>HYPERLINK("https://pbs.twimg.com/profile_images/378800000740202165/b05694a3f2964e6d9771da0340f153b2.jpeg","View")</f>
        <v>View</v>
      </c>
    </row>
    <row r="1846" spans="1:21" ht="20.399999999999999">
      <c r="A1846" s="6">
        <v>43426.760983796295</v>
      </c>
      <c r="B1846" s="7" t="str">
        <f>HYPERLINK("https://twitter.com/logomensor","@logomensor")</f>
        <v>@logomensor</v>
      </c>
      <c r="C1846" s="8" t="s">
        <v>6806</v>
      </c>
      <c r="D1846" s="9" t="s">
        <v>2981</v>
      </c>
      <c r="E1846" s="10" t="str">
        <f>HYPERLINK("https://twitter.com/logomensor/status/1065655102176935939","1065655102176935939")</f>
        <v>1065655102176935939</v>
      </c>
      <c r="F1846" s="11" t="s">
        <v>6807</v>
      </c>
      <c r="G1846" s="12"/>
      <c r="H1846" s="12"/>
      <c r="I1846" s="13">
        <v>0</v>
      </c>
      <c r="J1846" s="13">
        <v>0</v>
      </c>
      <c r="K1846" s="14" t="str">
        <f t="shared" si="298"/>
        <v>Twitter Web Client</v>
      </c>
      <c r="L1846" s="13">
        <v>147</v>
      </c>
      <c r="M1846" s="13">
        <v>646</v>
      </c>
      <c r="N1846" s="13">
        <v>1</v>
      </c>
      <c r="O1846" s="15"/>
      <c r="P1846" s="6">
        <v>42861.619224537033</v>
      </c>
      <c r="Q1846" s="17" t="s">
        <v>141</v>
      </c>
      <c r="R1846" s="19"/>
      <c r="S1846" s="12"/>
      <c r="T1846" s="12"/>
      <c r="U1846" s="10" t="str">
        <f>HYPERLINK("https://pbs.twimg.com/profile_images/1060858023818735616/vV8mLwRf.jpg","View")</f>
        <v>View</v>
      </c>
    </row>
    <row r="1847" spans="1:21" ht="20.399999999999999">
      <c r="A1847" s="6">
        <v>43426.759583333333</v>
      </c>
      <c r="B1847" s="7" t="str">
        <f>HYPERLINK("https://twitter.com/EMBACUBA_SVG","@EMBACUBA_SVG")</f>
        <v>@EMBACUBA_SVG</v>
      </c>
      <c r="C1847" s="8" t="s">
        <v>6810</v>
      </c>
      <c r="D1847" s="9" t="s">
        <v>6181</v>
      </c>
      <c r="E1847" s="10" t="str">
        <f>HYPERLINK("https://twitter.com/EMBACUBA_SVG/status/1065654593080754179","1065654593080754179")</f>
        <v>1065654593080754179</v>
      </c>
      <c r="F1847" s="11" t="s">
        <v>6811</v>
      </c>
      <c r="G1847" s="11" t="s">
        <v>6812</v>
      </c>
      <c r="H1847" s="12"/>
      <c r="I1847" s="13">
        <v>0</v>
      </c>
      <c r="J1847" s="13">
        <v>0</v>
      </c>
      <c r="K1847" s="14" t="str">
        <f t="shared" si="298"/>
        <v>Twitter Web Client</v>
      </c>
      <c r="L1847" s="13">
        <v>1396</v>
      </c>
      <c r="M1847" s="13">
        <v>569</v>
      </c>
      <c r="N1847" s="13">
        <v>19</v>
      </c>
      <c r="O1847" s="15"/>
      <c r="P1847" s="6">
        <v>42083.6246412037</v>
      </c>
      <c r="Q1847" s="12"/>
      <c r="R1847" s="19"/>
      <c r="S1847" s="12"/>
      <c r="T1847" s="12"/>
      <c r="U1847" s="10" t="str">
        <f>HYPERLINK("https://pbs.twimg.com/profile_images/578920020635308033/muEZw1Yz.jpeg","View")</f>
        <v>View</v>
      </c>
    </row>
    <row r="1848" spans="1:21" ht="20.399999999999999">
      <c r="A1848" s="6">
        <v>43426.758900462963</v>
      </c>
      <c r="B1848" s="7" t="str">
        <f>HYPERLINK("https://twitter.com/AlienteleSUR","@AlienteleSUR")</f>
        <v>@AlienteleSUR</v>
      </c>
      <c r="C1848" s="8" t="s">
        <v>3943</v>
      </c>
      <c r="D1848" s="9" t="s">
        <v>6815</v>
      </c>
      <c r="E1848" s="10" t="str">
        <f>HYPERLINK("https://twitter.com/AlienteleSUR/status/1065654347445559296","1065654347445559296")</f>
        <v>1065654347445559296</v>
      </c>
      <c r="F1848" s="11" t="s">
        <v>6816</v>
      </c>
      <c r="G1848" s="12"/>
      <c r="H1848" s="12"/>
      <c r="I1848" s="13">
        <v>0</v>
      </c>
      <c r="J1848" s="13">
        <v>0</v>
      </c>
      <c r="K1848" s="14" t="str">
        <f>HYPERLINK("http://multimedia.telesurtv.net","Multimedia teleSUR")</f>
        <v>Multimedia teleSUR</v>
      </c>
      <c r="L1848" s="13">
        <v>695</v>
      </c>
      <c r="M1848" s="13">
        <v>174</v>
      </c>
      <c r="N1848" s="13">
        <v>5</v>
      </c>
      <c r="O1848" s="15"/>
      <c r="P1848" s="6">
        <v>41859.16547453704</v>
      </c>
      <c r="Q1848" s="17" t="s">
        <v>40</v>
      </c>
      <c r="R1848" s="19"/>
      <c r="S1848" s="12"/>
      <c r="T1848" s="12"/>
      <c r="U1848" s="10" t="str">
        <f>HYPERLINK("https://pbs.twimg.com/profile_images/1056549220155617280/ow5-9Oik.jpg","View")</f>
        <v>View</v>
      </c>
    </row>
    <row r="1849" spans="1:21" ht="40.799999999999997">
      <c r="A1849" s="6">
        <v>43426.758611111116</v>
      </c>
      <c r="B1849" s="7" t="str">
        <f>HYPERLINK("https://twitter.com/Noticias_para","@Noticias_para")</f>
        <v>@Noticias_para</v>
      </c>
      <c r="C1849" s="8" t="s">
        <v>6817</v>
      </c>
      <c r="D1849" s="9" t="s">
        <v>6818</v>
      </c>
      <c r="E1849" s="10" t="str">
        <f>HYPERLINK("https://twitter.com/Noticias_para/status/1065654242525003776","1065654242525003776")</f>
        <v>1065654242525003776</v>
      </c>
      <c r="F1849" s="11" t="s">
        <v>6819</v>
      </c>
      <c r="G1849" s="12"/>
      <c r="H1849" s="12"/>
      <c r="I1849" s="13">
        <v>0</v>
      </c>
      <c r="J1849" s="13">
        <v>0</v>
      </c>
      <c r="K1849" s="14" t="str">
        <f>HYPERLINK("https://ifttt.com","IFTTT")</f>
        <v>IFTTT</v>
      </c>
      <c r="L1849" s="13">
        <v>12578</v>
      </c>
      <c r="M1849" s="13">
        <v>4967</v>
      </c>
      <c r="N1849" s="13">
        <v>180</v>
      </c>
      <c r="O1849" s="15"/>
      <c r="P1849" s="6">
        <v>41547.809733796297</v>
      </c>
      <c r="Q1849" s="17" t="s">
        <v>1647</v>
      </c>
      <c r="R1849" s="18" t="s">
        <v>6820</v>
      </c>
      <c r="S1849" s="11" t="s">
        <v>6821</v>
      </c>
      <c r="T1849" s="12"/>
      <c r="U1849" s="10" t="str">
        <f>HYPERLINK("https://pbs.twimg.com/profile_images/720184505718456320/X9FX0prU.jpg","View")</f>
        <v>View</v>
      </c>
    </row>
    <row r="1850" spans="1:21" ht="81.599999999999994">
      <c r="A1850" s="6">
        <v>43426.758414351847</v>
      </c>
      <c r="B1850" s="7" t="str">
        <f>HYPERLINK("https://twitter.com/icimarron","@icimarron")</f>
        <v>@icimarron</v>
      </c>
      <c r="C1850" s="8" t="s">
        <v>6822</v>
      </c>
      <c r="D1850" s="9" t="s">
        <v>6823</v>
      </c>
      <c r="E1850" s="10" t="str">
        <f>HYPERLINK("https://twitter.com/icimarron/status/1065654169338564608","1065654169338564608")</f>
        <v>1065654169338564608</v>
      </c>
      <c r="F1850" s="17" t="s">
        <v>5198</v>
      </c>
      <c r="G1850" s="11" t="s">
        <v>5199</v>
      </c>
      <c r="H1850" s="12"/>
      <c r="I1850" s="13">
        <v>0</v>
      </c>
      <c r="J1850" s="13">
        <v>0</v>
      </c>
      <c r="K1850" s="14" t="str">
        <f t="shared" ref="K1850:K1851" si="299">HYPERLINK("http://twitter.com/download/android","Twitter for Android")</f>
        <v>Twitter for Android</v>
      </c>
      <c r="L1850" s="13">
        <v>496</v>
      </c>
      <c r="M1850" s="13">
        <v>592</v>
      </c>
      <c r="N1850" s="13">
        <v>13</v>
      </c>
      <c r="O1850" s="15"/>
      <c r="P1850" s="6">
        <v>41205.153263888889</v>
      </c>
      <c r="Q1850" s="12"/>
      <c r="R1850" s="18" t="s">
        <v>6824</v>
      </c>
      <c r="S1850" s="12"/>
      <c r="T1850" s="12"/>
      <c r="U1850" s="10" t="str">
        <f>HYPERLINK("https://pbs.twimg.com/profile_images/558082852630585346/rnHrxGsm.jpeg","View")</f>
        <v>View</v>
      </c>
    </row>
    <row r="1851" spans="1:21" ht="61.2">
      <c r="A1851" s="6">
        <v>43426.758356481485</v>
      </c>
      <c r="B1851" s="7" t="str">
        <f>HYPERLINK("https://twitter.com/pep_caceres","@pep_caceres")</f>
        <v>@pep_caceres</v>
      </c>
      <c r="C1851" s="8" t="s">
        <v>6825</v>
      </c>
      <c r="D1851" s="9" t="s">
        <v>6826</v>
      </c>
      <c r="E1851" s="10" t="str">
        <f>HYPERLINK("https://twitter.com/pep_caceres/status/1065654146471264256","1065654146471264256")</f>
        <v>1065654146471264256</v>
      </c>
      <c r="F1851" s="17" t="s">
        <v>6827</v>
      </c>
      <c r="G1851" s="12"/>
      <c r="H1851" s="12"/>
      <c r="I1851" s="13">
        <v>2</v>
      </c>
      <c r="J1851" s="13">
        <v>0</v>
      </c>
      <c r="K1851" s="14" t="str">
        <f t="shared" si="299"/>
        <v>Twitter for Android</v>
      </c>
      <c r="L1851" s="13">
        <v>257</v>
      </c>
      <c r="M1851" s="13">
        <v>409</v>
      </c>
      <c r="N1851" s="13">
        <v>3</v>
      </c>
      <c r="O1851" s="15"/>
      <c r="P1851" s="6">
        <v>43237.634421296301</v>
      </c>
      <c r="Q1851" s="17" t="s">
        <v>6828</v>
      </c>
      <c r="R1851" s="18" t="s">
        <v>6829</v>
      </c>
      <c r="S1851" s="11" t="s">
        <v>6830</v>
      </c>
      <c r="T1851" s="12"/>
      <c r="U1851" s="10" t="str">
        <f>HYPERLINK("https://pbs.twimg.com/profile_images/1064808303606280193/6O48SXHv.jpg","View")</f>
        <v>View</v>
      </c>
    </row>
    <row r="1852" spans="1:21" ht="20.399999999999999">
      <c r="A1852" s="6">
        <v>43426.757997685185</v>
      </c>
      <c r="B1852" s="7" t="str">
        <f>HYPERLINK("https://twitter.com/CeutaTV","@CeutaTV")</f>
        <v>@CeutaTV</v>
      </c>
      <c r="C1852" s="8" t="s">
        <v>6831</v>
      </c>
      <c r="D1852" s="9" t="s">
        <v>6832</v>
      </c>
      <c r="E1852" s="10" t="str">
        <f>HYPERLINK("https://twitter.com/CeutaTV/status/1065654018788257792","1065654018788257792")</f>
        <v>1065654018788257792</v>
      </c>
      <c r="F1852" s="11" t="s">
        <v>6833</v>
      </c>
      <c r="G1852" s="11" t="s">
        <v>6834</v>
      </c>
      <c r="H1852" s="12"/>
      <c r="I1852" s="13">
        <v>0</v>
      </c>
      <c r="J1852" s="13">
        <v>0</v>
      </c>
      <c r="K1852" s="14" t="str">
        <f t="shared" ref="K1852:K1853" si="300">HYPERLINK("http://twitter.com","Twitter Web Client")</f>
        <v>Twitter Web Client</v>
      </c>
      <c r="L1852" s="13">
        <v>5312</v>
      </c>
      <c r="M1852" s="13">
        <v>718</v>
      </c>
      <c r="N1852" s="13">
        <v>69</v>
      </c>
      <c r="O1852" s="15"/>
      <c r="P1852" s="6">
        <v>40625.4612037037</v>
      </c>
      <c r="Q1852" s="17" t="s">
        <v>1484</v>
      </c>
      <c r="R1852" s="18" t="s">
        <v>6835</v>
      </c>
      <c r="S1852" s="11" t="s">
        <v>6836</v>
      </c>
      <c r="T1852" s="12"/>
      <c r="U1852" s="10" t="str">
        <f>HYPERLINK("https://pbs.twimg.com/profile_images/1036922129932070912/04U41b_4.jpg","View")</f>
        <v>View</v>
      </c>
    </row>
    <row r="1853" spans="1:21" ht="20.399999999999999">
      <c r="A1853" s="6">
        <v>43426.757893518516</v>
      </c>
      <c r="B1853" s="7" t="str">
        <f>HYPERLINK("https://twitter.com/CAUTEXA","@CAUTEXA")</f>
        <v>@CAUTEXA</v>
      </c>
      <c r="C1853" s="8" t="s">
        <v>6837</v>
      </c>
      <c r="D1853" s="9" t="s">
        <v>6838</v>
      </c>
      <c r="E1853" s="10" t="str">
        <f>HYPERLINK("https://twitter.com/CAUTEXA/status/1065653981664432128","1065653981664432128")</f>
        <v>1065653981664432128</v>
      </c>
      <c r="F1853" s="11" t="s">
        <v>6839</v>
      </c>
      <c r="G1853" s="12"/>
      <c r="H1853" s="12"/>
      <c r="I1853" s="13">
        <v>0</v>
      </c>
      <c r="J1853" s="13">
        <v>0</v>
      </c>
      <c r="K1853" s="14" t="str">
        <f t="shared" si="300"/>
        <v>Twitter Web Client</v>
      </c>
      <c r="L1853" s="13">
        <v>94</v>
      </c>
      <c r="M1853" s="13">
        <v>266</v>
      </c>
      <c r="N1853" s="13">
        <v>1</v>
      </c>
      <c r="O1853" s="15"/>
      <c r="P1853" s="6">
        <v>40532.002060185187</v>
      </c>
      <c r="Q1853" s="17" t="s">
        <v>2862</v>
      </c>
      <c r="R1853" s="19"/>
      <c r="S1853" s="12"/>
      <c r="T1853" s="12"/>
      <c r="U1853" s="10" t="str">
        <f>HYPERLINK("https://pbs.twimg.com/profile_images/1834253769/MGA.jpg","View")</f>
        <v>View</v>
      </c>
    </row>
    <row r="1854" spans="1:21" ht="51">
      <c r="A1854" s="6">
        <v>43426.757337962961</v>
      </c>
      <c r="B1854" s="7" t="str">
        <f>HYPERLINK("https://twitter.com/luisgemaro","@luisgemaro")</f>
        <v>@luisgemaro</v>
      </c>
      <c r="C1854" s="8" t="s">
        <v>6840</v>
      </c>
      <c r="D1854" s="9" t="s">
        <v>6841</v>
      </c>
      <c r="E1854" s="10" t="str">
        <f>HYPERLINK("https://twitter.com/luisgemaro/status/1065653779419316224","1065653779419316224")</f>
        <v>1065653779419316224</v>
      </c>
      <c r="F1854" s="12"/>
      <c r="G1854" s="12"/>
      <c r="H1854" s="12"/>
      <c r="I1854" s="13">
        <v>0</v>
      </c>
      <c r="J1854" s="13">
        <v>0</v>
      </c>
      <c r="K1854" s="14" t="str">
        <f>HYPERLINK("http://twitter.com/download/android","Twitter for Android")</f>
        <v>Twitter for Android</v>
      </c>
      <c r="L1854" s="13">
        <v>430</v>
      </c>
      <c r="M1854" s="13">
        <v>1013</v>
      </c>
      <c r="N1854" s="13">
        <v>2</v>
      </c>
      <c r="O1854" s="15"/>
      <c r="P1854" s="6">
        <v>40094.152118055557</v>
      </c>
      <c r="Q1854" s="17" t="s">
        <v>6842</v>
      </c>
      <c r="R1854" s="18" t="s">
        <v>6843</v>
      </c>
      <c r="S1854" s="12"/>
      <c r="T1854" s="12"/>
      <c r="U1854" s="10" t="str">
        <f>HYPERLINK("https://pbs.twimg.com/profile_images/1051982557200437248/kRhHgMYD.jpg","View")</f>
        <v>View</v>
      </c>
    </row>
    <row r="1855" spans="1:21" ht="40.799999999999997">
      <c r="A1855" s="6">
        <v>43426.75712962963</v>
      </c>
      <c r="B1855" s="7" t="str">
        <f>HYPERLINK("https://twitter.com/lopescorza","@lopescorza")</f>
        <v>@lopescorza</v>
      </c>
      <c r="C1855" s="8" t="s">
        <v>2991</v>
      </c>
      <c r="D1855" s="9" t="s">
        <v>6844</v>
      </c>
      <c r="E1855" s="10" t="str">
        <f>HYPERLINK("https://twitter.com/lopescorza/status/1065653703238184960","1065653703238184960")</f>
        <v>1065653703238184960</v>
      </c>
      <c r="F1855" s="11" t="s">
        <v>6845</v>
      </c>
      <c r="G1855" s="12"/>
      <c r="H1855" s="12"/>
      <c r="I1855" s="13">
        <v>0</v>
      </c>
      <c r="J1855" s="13">
        <v>2</v>
      </c>
      <c r="K1855" s="14" t="str">
        <f>HYPERLINK("http://www.facebook.com/twitter","Facebook")</f>
        <v>Facebook</v>
      </c>
      <c r="L1855" s="13">
        <v>773</v>
      </c>
      <c r="M1855" s="13">
        <v>1917</v>
      </c>
      <c r="N1855" s="13">
        <v>10</v>
      </c>
      <c r="O1855" s="15"/>
      <c r="P1855" s="6">
        <v>41038.301446759258</v>
      </c>
      <c r="Q1855" s="17" t="s">
        <v>2994</v>
      </c>
      <c r="R1855" s="18" t="s">
        <v>2995</v>
      </c>
      <c r="S1855" s="11" t="s">
        <v>2996</v>
      </c>
      <c r="T1855" s="12"/>
      <c r="U1855" s="10" t="str">
        <f>HYPERLINK("https://pbs.twimg.com/profile_images/902590003091447808/jbU7exQr.jpg","View")</f>
        <v>View</v>
      </c>
    </row>
    <row r="1856" spans="1:21" ht="20.399999999999999">
      <c r="A1856" s="6">
        <v>43426.757060185184</v>
      </c>
      <c r="B1856" s="7" t="str">
        <f>HYPERLINK("https://twitter.com/lolapastur","@lolapastur")</f>
        <v>@lolapastur</v>
      </c>
      <c r="C1856" s="8" t="s">
        <v>1329</v>
      </c>
      <c r="D1856" s="9" t="s">
        <v>1143</v>
      </c>
      <c r="E1856" s="10" t="str">
        <f>HYPERLINK("https://twitter.com/lolapastur/status/1065653678642745345","1065653678642745345")</f>
        <v>1065653678642745345</v>
      </c>
      <c r="F1856" s="11" t="s">
        <v>6846</v>
      </c>
      <c r="G1856" s="12"/>
      <c r="H1856" s="12"/>
      <c r="I1856" s="13">
        <v>6</v>
      </c>
      <c r="J1856" s="13">
        <v>3</v>
      </c>
      <c r="K1856" s="14" t="str">
        <f t="shared" ref="K1856:K1857" si="301">HYPERLINK("http://twitter.com","Twitter Web Client")</f>
        <v>Twitter Web Client</v>
      </c>
      <c r="L1856" s="13">
        <v>3768</v>
      </c>
      <c r="M1856" s="13">
        <v>2836</v>
      </c>
      <c r="N1856" s="13">
        <v>32</v>
      </c>
      <c r="O1856" s="15"/>
      <c r="P1856" s="6">
        <v>40913.599293981482</v>
      </c>
      <c r="Q1856" s="12"/>
      <c r="R1856" s="18" t="s">
        <v>1332</v>
      </c>
      <c r="S1856" s="12"/>
      <c r="T1856" s="12"/>
      <c r="U1856" s="10" t="str">
        <f>HYPERLINK("https://pbs.twimg.com/profile_images/934821295736451073/tnymHvNj.jpg","View")</f>
        <v>View</v>
      </c>
    </row>
    <row r="1857" spans="1:21" ht="20.399999999999999">
      <c r="A1857" s="6">
        <v>43426.755902777775</v>
      </c>
      <c r="B1857" s="7" t="str">
        <f>HYPERLINK("https://twitter.com/rscabanillas","@rscabanillas")</f>
        <v>@rscabanillas</v>
      </c>
      <c r="C1857" s="8" t="s">
        <v>1894</v>
      </c>
      <c r="D1857" s="9" t="s">
        <v>6847</v>
      </c>
      <c r="E1857" s="10" t="str">
        <f>HYPERLINK("https://twitter.com/rscabanillas/status/1065653259350827010","1065653259350827010")</f>
        <v>1065653259350827010</v>
      </c>
      <c r="F1857" s="12"/>
      <c r="G1857" s="12"/>
      <c r="H1857" s="12"/>
      <c r="I1857" s="13">
        <v>0</v>
      </c>
      <c r="J1857" s="13">
        <v>0</v>
      </c>
      <c r="K1857" s="14" t="str">
        <f t="shared" si="301"/>
        <v>Twitter Web Client</v>
      </c>
      <c r="L1857" s="13">
        <v>235</v>
      </c>
      <c r="M1857" s="13">
        <v>648</v>
      </c>
      <c r="N1857" s="13">
        <v>8</v>
      </c>
      <c r="O1857" s="15"/>
      <c r="P1857" s="6">
        <v>40281.903067129628</v>
      </c>
      <c r="Q1857" s="17" t="s">
        <v>1278</v>
      </c>
      <c r="R1857" s="18" t="s">
        <v>1896</v>
      </c>
      <c r="S1857" s="12"/>
      <c r="T1857" s="12"/>
      <c r="U1857" s="10" t="str">
        <f>HYPERLINK("https://pbs.twimg.com/profile_images/2466541336/b20z9vh4c994siwzfxv8.jpeg","View")</f>
        <v>View</v>
      </c>
    </row>
    <row r="1858" spans="1:21" ht="20.399999999999999">
      <c r="A1858" s="6">
        <v>43426.755578703705</v>
      </c>
      <c r="B1858" s="7" t="str">
        <f>HYPERLINK("https://twitter.com/teleSUR_Cuba","@teleSUR_Cuba")</f>
        <v>@teleSUR_Cuba</v>
      </c>
      <c r="C1858" s="8" t="s">
        <v>3961</v>
      </c>
      <c r="D1858" s="9" t="s">
        <v>6815</v>
      </c>
      <c r="E1858" s="10" t="str">
        <f>HYPERLINK("https://twitter.com/teleSUR_Cuba/status/1065653139934797824","1065653139934797824")</f>
        <v>1065653139934797824</v>
      </c>
      <c r="F1858" s="11" t="s">
        <v>6816</v>
      </c>
      <c r="G1858" s="12"/>
      <c r="H1858" s="12"/>
      <c r="I1858" s="13">
        <v>0</v>
      </c>
      <c r="J1858" s="13">
        <v>0</v>
      </c>
      <c r="K1858" s="14" t="str">
        <f>HYPERLINK("http://multimedia.telesurtv.net","Multimedia teleSUR")</f>
        <v>Multimedia teleSUR</v>
      </c>
      <c r="L1858" s="13">
        <v>16686</v>
      </c>
      <c r="M1858" s="13">
        <v>54</v>
      </c>
      <c r="N1858" s="13">
        <v>152</v>
      </c>
      <c r="O1858" s="15"/>
      <c r="P1858" s="6">
        <v>40578.687673611115</v>
      </c>
      <c r="Q1858" s="17" t="s">
        <v>475</v>
      </c>
      <c r="R1858" s="18" t="s">
        <v>3962</v>
      </c>
      <c r="S1858" s="11" t="s">
        <v>1700</v>
      </c>
      <c r="T1858" s="12"/>
      <c r="U1858" s="10" t="str">
        <f>HYPERLINK("https://pbs.twimg.com/profile_images/378800000735274021/2e9d9b9303bd8f5c5d4c8f3c847e393f.jpeg","View")</f>
        <v>View</v>
      </c>
    </row>
    <row r="1859" spans="1:21" ht="20.399999999999999">
      <c r="A1859" s="6">
        <v>43426.754548611112</v>
      </c>
      <c r="B1859" s="7" t="str">
        <f>HYPERLINK("https://twitter.com/merchigan","@merchigan")</f>
        <v>@merchigan</v>
      </c>
      <c r="C1859" s="8" t="s">
        <v>5840</v>
      </c>
      <c r="D1859" s="9" t="s">
        <v>1143</v>
      </c>
      <c r="E1859" s="10" t="str">
        <f>HYPERLINK("https://twitter.com/merchigan/status/1065652767073755137","1065652767073755137")</f>
        <v>1065652767073755137</v>
      </c>
      <c r="F1859" s="11" t="s">
        <v>6848</v>
      </c>
      <c r="G1859" s="12"/>
      <c r="H1859" s="12"/>
      <c r="I1859" s="13">
        <v>0</v>
      </c>
      <c r="J1859" s="13">
        <v>0</v>
      </c>
      <c r="K1859" s="14" t="str">
        <f t="shared" ref="K1859:K1860" si="302">HYPERLINK("http://twitter.com","Twitter Web Client")</f>
        <v>Twitter Web Client</v>
      </c>
      <c r="L1859" s="13">
        <v>1243</v>
      </c>
      <c r="M1859" s="13">
        <v>1126</v>
      </c>
      <c r="N1859" s="13">
        <v>14</v>
      </c>
      <c r="O1859" s="15"/>
      <c r="P1859" s="6">
        <v>40685.967453703706</v>
      </c>
      <c r="Q1859" s="17" t="s">
        <v>5842</v>
      </c>
      <c r="R1859" s="18" t="s">
        <v>5843</v>
      </c>
      <c r="S1859" s="12"/>
      <c r="T1859" s="12"/>
      <c r="U1859" s="10" t="str">
        <f>HYPERLINK("https://pbs.twimg.com/profile_images/1064647589801459713/J7W6xPsn.jpg","View")</f>
        <v>View</v>
      </c>
    </row>
    <row r="1860" spans="1:21" ht="20.399999999999999">
      <c r="A1860" s="6">
        <v>43426.75409722222</v>
      </c>
      <c r="B1860" s="7" t="str">
        <f>HYPERLINK("https://twitter.com/sinue_234","@sinue_234")</f>
        <v>@sinue_234</v>
      </c>
      <c r="C1860" s="8" t="s">
        <v>6849</v>
      </c>
      <c r="D1860" s="9" t="s">
        <v>5808</v>
      </c>
      <c r="E1860" s="10" t="str">
        <f>HYPERLINK("https://twitter.com/sinue_234/status/1065652606587084802","1065652606587084802")</f>
        <v>1065652606587084802</v>
      </c>
      <c r="F1860" s="11" t="s">
        <v>5809</v>
      </c>
      <c r="G1860" s="12"/>
      <c r="H1860" s="12"/>
      <c r="I1860" s="13">
        <v>0</v>
      </c>
      <c r="J1860" s="13">
        <v>0</v>
      </c>
      <c r="K1860" s="14" t="str">
        <f t="shared" si="302"/>
        <v>Twitter Web Client</v>
      </c>
      <c r="L1860" s="13">
        <v>872</v>
      </c>
      <c r="M1860" s="13">
        <v>961</v>
      </c>
      <c r="N1860" s="13">
        <v>19</v>
      </c>
      <c r="O1860" s="15"/>
      <c r="P1860" s="6">
        <v>40310.704189814816</v>
      </c>
      <c r="Q1860" s="12"/>
      <c r="R1860" s="19"/>
      <c r="S1860" s="12"/>
      <c r="T1860" s="12"/>
      <c r="U1860" s="10" t="str">
        <f>HYPERLINK("https://pbs.twimg.com/profile_images/1360942810/girasol_turquia.jpg","View")</f>
        <v>View</v>
      </c>
    </row>
    <row r="1861" spans="1:21" ht="30.6">
      <c r="A1861" s="6">
        <v>43426.753321759257</v>
      </c>
      <c r="B1861" s="7" t="str">
        <f>HYPERLINK("https://twitter.com/AndyPeor","@AndyPeor")</f>
        <v>@AndyPeor</v>
      </c>
      <c r="C1861" s="8" t="s">
        <v>6850</v>
      </c>
      <c r="D1861" s="9" t="s">
        <v>6851</v>
      </c>
      <c r="E1861" s="10" t="str">
        <f>HYPERLINK("https://twitter.com/AndyPeor/status/1065652323769294851","1065652323769294851")</f>
        <v>1065652323769294851</v>
      </c>
      <c r="F1861" s="11" t="s">
        <v>6852</v>
      </c>
      <c r="G1861" s="12"/>
      <c r="H1861" s="12"/>
      <c r="I1861" s="13">
        <v>0</v>
      </c>
      <c r="J1861" s="13">
        <v>0</v>
      </c>
      <c r="K1861" s="14" t="str">
        <f>HYPERLINK("http://www.facebook.com/twitter","Facebook")</f>
        <v>Facebook</v>
      </c>
      <c r="L1861" s="13">
        <v>10911</v>
      </c>
      <c r="M1861" s="13">
        <v>11842</v>
      </c>
      <c r="N1861" s="13">
        <v>60</v>
      </c>
      <c r="O1861" s="15"/>
      <c r="P1861" s="6">
        <v>39861.215937499997</v>
      </c>
      <c r="Q1861" s="17" t="s">
        <v>27</v>
      </c>
      <c r="R1861" s="19"/>
      <c r="S1861" s="11" t="s">
        <v>6853</v>
      </c>
      <c r="T1861" s="12"/>
      <c r="U1861" s="10" t="str">
        <f>HYPERLINK("https://pbs.twimg.com/profile_images/994707757055074304/QPEPV2gK.jpg","View")</f>
        <v>View</v>
      </c>
    </row>
    <row r="1862" spans="1:21" ht="40.799999999999997">
      <c r="A1862" s="6">
        <v>43426.752523148149</v>
      </c>
      <c r="B1862" s="7" t="str">
        <f>HYPERLINK("https://twitter.com/caval100","@caval100")</f>
        <v>@caval100</v>
      </c>
      <c r="C1862" s="8" t="s">
        <v>6854</v>
      </c>
      <c r="D1862" s="9" t="s">
        <v>6855</v>
      </c>
      <c r="E1862" s="10" t="str">
        <f>HYPERLINK("https://twitter.com/caval100/status/1065652034764984321","1065652034764984321")</f>
        <v>1065652034764984321</v>
      </c>
      <c r="F1862" s="11" t="s">
        <v>5142</v>
      </c>
      <c r="G1862" s="12"/>
      <c r="H1862" s="12"/>
      <c r="I1862" s="13">
        <v>6</v>
      </c>
      <c r="J1862" s="13">
        <v>7</v>
      </c>
      <c r="K1862" s="14" t="str">
        <f>HYPERLINK("http://twitter.com/download/android","Twitter for Android")</f>
        <v>Twitter for Android</v>
      </c>
      <c r="L1862" s="13">
        <v>119224</v>
      </c>
      <c r="M1862" s="13">
        <v>94076</v>
      </c>
      <c r="N1862" s="13">
        <v>981</v>
      </c>
      <c r="O1862" s="15"/>
      <c r="P1862" s="6">
        <v>40079.437094907407</v>
      </c>
      <c r="Q1862" s="17" t="s">
        <v>6227</v>
      </c>
      <c r="R1862" s="18" t="s">
        <v>6856</v>
      </c>
      <c r="S1862" s="11" t="s">
        <v>6857</v>
      </c>
      <c r="T1862" s="12"/>
      <c r="U1862" s="10" t="str">
        <f>HYPERLINK("https://pbs.twimg.com/profile_images/965350678301429760/uvGI7g8U.jpg","View")</f>
        <v>View</v>
      </c>
    </row>
    <row r="1863" spans="1:21" ht="40.799999999999997">
      <c r="A1863" s="6">
        <v>43426.752442129626</v>
      </c>
      <c r="B1863" s="7" t="str">
        <f>HYPERLINK("https://twitter.com/rss_noticias","@rss_noticias")</f>
        <v>@rss_noticias</v>
      </c>
      <c r="C1863" s="8" t="s">
        <v>6858</v>
      </c>
      <c r="D1863" s="9" t="s">
        <v>6859</v>
      </c>
      <c r="E1863" s="10" t="str">
        <f>HYPERLINK("https://twitter.com/rss_noticias/status/1065652003345498113","1065652003345498113")</f>
        <v>1065652003345498113</v>
      </c>
      <c r="F1863" s="11" t="s">
        <v>6860</v>
      </c>
      <c r="G1863" s="12"/>
      <c r="H1863" s="12"/>
      <c r="I1863" s="13">
        <v>0</v>
      </c>
      <c r="J1863" s="13">
        <v>0</v>
      </c>
      <c r="K1863" s="14" t="str">
        <f>HYPERLINK("https://ifttt.com","IFTTT")</f>
        <v>IFTTT</v>
      </c>
      <c r="L1863" s="13">
        <v>132</v>
      </c>
      <c r="M1863" s="13">
        <v>1</v>
      </c>
      <c r="N1863" s="13">
        <v>2</v>
      </c>
      <c r="O1863" s="15"/>
      <c r="P1863" s="6">
        <v>43425.916296296295</v>
      </c>
      <c r="Q1863" s="17" t="s">
        <v>6861</v>
      </c>
      <c r="R1863" s="18" t="s">
        <v>6862</v>
      </c>
      <c r="S1863" s="12"/>
      <c r="T1863" s="12"/>
      <c r="U1863" s="10" t="str">
        <f>HYPERLINK("https://pbs.twimg.com/profile_images/1065358148377153542/OtJ5HtwI.jpg","View")</f>
        <v>View</v>
      </c>
    </row>
    <row r="1864" spans="1:21" ht="51">
      <c r="A1864" s="6">
        <v>43426.752210648148</v>
      </c>
      <c r="B1864" s="7" t="str">
        <f>HYPERLINK("https://twitter.com/ValladolidCOPE","@ValladolidCOPE")</f>
        <v>@ValladolidCOPE</v>
      </c>
      <c r="C1864" s="8" t="s">
        <v>6863</v>
      </c>
      <c r="D1864" s="9" t="s">
        <v>6864</v>
      </c>
      <c r="E1864" s="10" t="str">
        <f>HYPERLINK("https://twitter.com/ValladolidCOPE/status/1065651920453451777","1065651920453451777")</f>
        <v>1065651920453451777</v>
      </c>
      <c r="F1864" s="12"/>
      <c r="G1864" s="11" t="s">
        <v>6865</v>
      </c>
      <c r="H1864" s="12"/>
      <c r="I1864" s="13">
        <v>3</v>
      </c>
      <c r="J1864" s="13">
        <v>2</v>
      </c>
      <c r="K1864" s="14" t="str">
        <f>HYPERLINK("http://twitter.com","Twitter Web Client")</f>
        <v>Twitter Web Client</v>
      </c>
      <c r="L1864" s="13">
        <v>2085</v>
      </c>
      <c r="M1864" s="13">
        <v>224</v>
      </c>
      <c r="N1864" s="13">
        <v>40</v>
      </c>
      <c r="O1864" s="15"/>
      <c r="P1864" s="6">
        <v>42325.59175925926</v>
      </c>
      <c r="Q1864" s="17" t="s">
        <v>6866</v>
      </c>
      <c r="R1864" s="18" t="s">
        <v>6867</v>
      </c>
      <c r="S1864" s="11" t="s">
        <v>6868</v>
      </c>
      <c r="T1864" s="12"/>
      <c r="U1864" s="10" t="str">
        <f>HYPERLINK("https://pbs.twimg.com/profile_images/934561137257041921/APkm1lr5.jpg","View")</f>
        <v>View</v>
      </c>
    </row>
    <row r="1865" spans="1:21" ht="51">
      <c r="A1865" s="6">
        <v>43426.75209490741</v>
      </c>
      <c r="B1865" s="7" t="str">
        <f>HYPERLINK("https://twitter.com/abc_blogs","@abc_blogs")</f>
        <v>@abc_blogs</v>
      </c>
      <c r="C1865" s="8" t="s">
        <v>6869</v>
      </c>
      <c r="D1865" s="9" t="s">
        <v>6870</v>
      </c>
      <c r="E1865" s="10" t="str">
        <f>HYPERLINK("https://twitter.com/abc_blogs/status/1065651878510452736","1065651878510452736")</f>
        <v>1065651878510452736</v>
      </c>
      <c r="F1865" s="11" t="s">
        <v>6871</v>
      </c>
      <c r="G1865" s="11" t="s">
        <v>6872</v>
      </c>
      <c r="H1865" s="12"/>
      <c r="I1865" s="13">
        <v>0</v>
      </c>
      <c r="J1865" s="13">
        <v>0</v>
      </c>
      <c r="K1865" s="14" t="str">
        <f>HYPERLINK("http://dogtrack.es","DogTrack_Oficial")</f>
        <v>DogTrack_Oficial</v>
      </c>
      <c r="L1865" s="13">
        <v>968</v>
      </c>
      <c r="M1865" s="13">
        <v>8</v>
      </c>
      <c r="N1865" s="13">
        <v>79</v>
      </c>
      <c r="O1865" s="15"/>
      <c r="P1865" s="6">
        <v>40064.550902777773</v>
      </c>
      <c r="Q1865" s="12"/>
      <c r="R1865" s="18" t="s">
        <v>6873</v>
      </c>
      <c r="S1865" s="11" t="s">
        <v>6874</v>
      </c>
      <c r="T1865" s="12"/>
      <c r="U1865" s="10" t="str">
        <f>HYPERLINK("https://pbs.twimg.com/profile_images/659721664662544385/zV9rCDpT.png","View")</f>
        <v>View</v>
      </c>
    </row>
    <row r="1866" spans="1:21" ht="40.799999999999997">
      <c r="A1866" s="6">
        <v>43426.75204861111</v>
      </c>
      <c r="B1866" s="7" t="str">
        <f>HYPERLINK("https://twitter.com/ldpsincomplejos","@ldpsincomplejos")</f>
        <v>@ldpsincomplejos</v>
      </c>
      <c r="C1866" s="8" t="s">
        <v>3486</v>
      </c>
      <c r="D1866" s="9" t="s">
        <v>6875</v>
      </c>
      <c r="E1866" s="10" t="str">
        <f>HYPERLINK("https://twitter.com/ldpsincomplejos/status/1065651862697926656","1065651862697926656")</f>
        <v>1065651862697926656</v>
      </c>
      <c r="F1866" s="12"/>
      <c r="G1866" s="11" t="s">
        <v>6876</v>
      </c>
      <c r="H1866" s="12"/>
      <c r="I1866" s="13">
        <v>419</v>
      </c>
      <c r="J1866" s="13">
        <v>497</v>
      </c>
      <c r="K1866" s="14" t="str">
        <f t="shared" ref="K1866:K1867" si="303">HYPERLINK("http://twitter.com","Twitter Web Client")</f>
        <v>Twitter Web Client</v>
      </c>
      <c r="L1866" s="13">
        <v>108177</v>
      </c>
      <c r="M1866" s="13">
        <v>2604</v>
      </c>
      <c r="N1866" s="13">
        <v>1072</v>
      </c>
      <c r="O1866" s="16" t="s">
        <v>26</v>
      </c>
      <c r="P1866" s="6">
        <v>40566.777245370373</v>
      </c>
      <c r="Q1866" s="17" t="s">
        <v>72</v>
      </c>
      <c r="R1866" s="18" t="s">
        <v>3488</v>
      </c>
      <c r="S1866" s="11" t="s">
        <v>3489</v>
      </c>
      <c r="T1866" s="12"/>
      <c r="U1866" s="10" t="str">
        <f>HYPERLINK("https://pbs.twimg.com/profile_images/1007677959245828097/i-2yAFvg.jpg","View")</f>
        <v>View</v>
      </c>
    </row>
    <row r="1867" spans="1:21" ht="20.399999999999999">
      <c r="A1867" s="6">
        <v>43426.751909722225</v>
      </c>
      <c r="B1867" s="7" t="str">
        <f>HYPERLINK("https://twitter.com/fmembrilla","@fmembrilla")</f>
        <v>@fmembrilla</v>
      </c>
      <c r="C1867" s="8" t="s">
        <v>6556</v>
      </c>
      <c r="D1867" s="9" t="s">
        <v>5933</v>
      </c>
      <c r="E1867" s="10" t="str">
        <f>HYPERLINK("https://twitter.com/fmembrilla/status/1065651812924092417","1065651812924092417")</f>
        <v>1065651812924092417</v>
      </c>
      <c r="F1867" s="11" t="s">
        <v>6877</v>
      </c>
      <c r="G1867" s="12"/>
      <c r="H1867" s="12"/>
      <c r="I1867" s="13">
        <v>0</v>
      </c>
      <c r="J1867" s="13">
        <v>0</v>
      </c>
      <c r="K1867" s="14" t="str">
        <f t="shared" si="303"/>
        <v>Twitter Web Client</v>
      </c>
      <c r="L1867" s="13">
        <v>1091</v>
      </c>
      <c r="M1867" s="13">
        <v>2064</v>
      </c>
      <c r="N1867" s="13">
        <v>14</v>
      </c>
      <c r="O1867" s="15"/>
      <c r="P1867" s="6">
        <v>41249.590601851851</v>
      </c>
      <c r="Q1867" s="17" t="s">
        <v>2053</v>
      </c>
      <c r="R1867" s="18" t="s">
        <v>6558</v>
      </c>
      <c r="S1867" s="12"/>
      <c r="T1867" s="12"/>
      <c r="U1867" s="10" t="str">
        <f>HYPERLINK("https://pbs.twimg.com/profile_images/3767830775/2bd8dcbb3b8ab6c20c8e4a0301556b19.jpeg","View")</f>
        <v>View</v>
      </c>
    </row>
    <row r="1868" spans="1:21" ht="30.6">
      <c r="A1868" s="6">
        <v>43426.751331018517</v>
      </c>
      <c r="B1868" s="7" t="str">
        <f>HYPERLINK("https://twitter.com/Balentxegi","@Balentxegi")</f>
        <v>@Balentxegi</v>
      </c>
      <c r="C1868" s="8" t="s">
        <v>6878</v>
      </c>
      <c r="D1868" s="9" t="s">
        <v>5808</v>
      </c>
      <c r="E1868" s="10" t="str">
        <f>HYPERLINK("https://twitter.com/Balentxegi/status/1065651603598913536","1065651603598913536")</f>
        <v>1065651603598913536</v>
      </c>
      <c r="F1868" s="11" t="s">
        <v>6879</v>
      </c>
      <c r="G1868" s="12"/>
      <c r="H1868" s="12"/>
      <c r="I1868" s="13">
        <v>0</v>
      </c>
      <c r="J1868" s="13">
        <v>0</v>
      </c>
      <c r="K1868" s="14" t="str">
        <f>HYPERLINK("http://twitter.com/download/android","Twitter for Android")</f>
        <v>Twitter for Android</v>
      </c>
      <c r="L1868" s="13">
        <v>271</v>
      </c>
      <c r="M1868" s="13">
        <v>440</v>
      </c>
      <c r="N1868" s="13">
        <v>2</v>
      </c>
      <c r="O1868" s="15"/>
      <c r="P1868" s="6">
        <v>40640.467881944445</v>
      </c>
      <c r="Q1868" s="17" t="s">
        <v>1920</v>
      </c>
      <c r="R1868" s="18" t="s">
        <v>6880</v>
      </c>
      <c r="S1868" s="12"/>
      <c r="T1868" s="12"/>
      <c r="U1868" s="10" t="str">
        <f>HYPERLINK("https://pbs.twimg.com/profile_images/465173554678349824/GwjbRBTs.jpeg","View")</f>
        <v>View</v>
      </c>
    </row>
    <row r="1869" spans="1:21" ht="40.799999999999997">
      <c r="A1869" s="6">
        <v>43426.75100694444</v>
      </c>
      <c r="B1869" s="7" t="str">
        <f>HYPERLINK("https://twitter.com/MiguelTrinidadA","@MiguelTrinidadA")</f>
        <v>@MiguelTrinidadA</v>
      </c>
      <c r="C1869" s="8" t="s">
        <v>5389</v>
      </c>
      <c r="D1869" s="9" t="s">
        <v>6881</v>
      </c>
      <c r="E1869" s="10" t="str">
        <f>HYPERLINK("https://twitter.com/MiguelTrinidadA/status/1065651485910999040","1065651485910999040")</f>
        <v>1065651485910999040</v>
      </c>
      <c r="F1869" s="11" t="s">
        <v>6882</v>
      </c>
      <c r="G1869" s="12"/>
      <c r="H1869" s="12"/>
      <c r="I1869" s="13">
        <v>1</v>
      </c>
      <c r="J1869" s="13">
        <v>0</v>
      </c>
      <c r="K1869" s="14" t="str">
        <f>HYPERLINK("http://twitter.com","Twitter Web Client")</f>
        <v>Twitter Web Client</v>
      </c>
      <c r="L1869" s="13">
        <v>3513</v>
      </c>
      <c r="M1869" s="13">
        <v>3653</v>
      </c>
      <c r="N1869" s="13">
        <v>35</v>
      </c>
      <c r="O1869" s="15"/>
      <c r="P1869" s="6">
        <v>41180.740416666667</v>
      </c>
      <c r="Q1869" s="17" t="s">
        <v>28</v>
      </c>
      <c r="R1869" s="18" t="s">
        <v>5392</v>
      </c>
      <c r="S1869" s="12"/>
      <c r="T1869" s="12"/>
      <c r="U1869" s="10" t="str">
        <f>HYPERLINK("https://pbs.twimg.com/profile_images/843509060167262210/lz-DfFMm.jpg","View")</f>
        <v>View</v>
      </c>
    </row>
    <row r="1870" spans="1:21" ht="40.799999999999997">
      <c r="A1870" s="6">
        <v>43426.750798611116</v>
      </c>
      <c r="B1870" s="7" t="str">
        <f>HYPERLINK("https://twitter.com/AgronewsCyL","@AgronewsCyL")</f>
        <v>@AgronewsCyL</v>
      </c>
      <c r="C1870" s="8" t="s">
        <v>6884</v>
      </c>
      <c r="D1870" s="9" t="s">
        <v>6885</v>
      </c>
      <c r="E1870" s="10" t="str">
        <f>HYPERLINK("https://twitter.com/AgronewsCyL/status/1065651411201998849","1065651411201998849")</f>
        <v>1065651411201998849</v>
      </c>
      <c r="F1870" s="11" t="s">
        <v>6886</v>
      </c>
      <c r="G1870" s="12"/>
      <c r="H1870" s="12"/>
      <c r="I1870" s="13">
        <v>1</v>
      </c>
      <c r="J1870" s="13">
        <v>0</v>
      </c>
      <c r="K1870" s="14" t="str">
        <f>HYPERLINK("https://ifttt.com","IFTTT")</f>
        <v>IFTTT</v>
      </c>
      <c r="L1870" s="13">
        <v>13444</v>
      </c>
      <c r="M1870" s="13">
        <v>11390</v>
      </c>
      <c r="N1870" s="13">
        <v>248</v>
      </c>
      <c r="O1870" s="15"/>
      <c r="P1870" s="6">
        <v>41375.733495370368</v>
      </c>
      <c r="Q1870" s="17" t="s">
        <v>5953</v>
      </c>
      <c r="R1870" s="18" t="s">
        <v>6887</v>
      </c>
      <c r="S1870" s="11" t="s">
        <v>6888</v>
      </c>
      <c r="T1870" s="12"/>
      <c r="U1870" s="10" t="str">
        <f>HYPERLINK("https://pbs.twimg.com/profile_images/456750846437359616/cdoTDQL0.jpeg","View")</f>
        <v>View</v>
      </c>
    </row>
    <row r="1871" spans="1:21" ht="40.799999999999997">
      <c r="A1871" s="6">
        <v>43426.750706018516</v>
      </c>
      <c r="B1871" s="7" t="str">
        <f>HYPERLINK("https://twitter.com/Luquenyo","@Luquenyo")</f>
        <v>@Luquenyo</v>
      </c>
      <c r="C1871" s="8" t="s">
        <v>6889</v>
      </c>
      <c r="D1871" s="9" t="s">
        <v>6890</v>
      </c>
      <c r="E1871" s="10" t="str">
        <f>HYPERLINK("https://twitter.com/Luquenyo/status/1065651375722414080","1065651375722414080")</f>
        <v>1065651375722414080</v>
      </c>
      <c r="F1871" s="11" t="s">
        <v>6604</v>
      </c>
      <c r="G1871" s="12"/>
      <c r="H1871" s="12"/>
      <c r="I1871" s="13">
        <v>0</v>
      </c>
      <c r="J1871" s="13">
        <v>0</v>
      </c>
      <c r="K1871" s="14" t="str">
        <f>HYPERLINK("http://twitter.com","Twitter Web Client")</f>
        <v>Twitter Web Client</v>
      </c>
      <c r="L1871" s="13">
        <v>367</v>
      </c>
      <c r="M1871" s="13">
        <v>282</v>
      </c>
      <c r="N1871" s="13">
        <v>19</v>
      </c>
      <c r="O1871" s="15"/>
      <c r="P1871" s="6">
        <v>40649.51326388889</v>
      </c>
      <c r="Q1871" s="17" t="s">
        <v>191</v>
      </c>
      <c r="R1871" s="18" t="s">
        <v>6891</v>
      </c>
      <c r="S1871" s="12"/>
      <c r="T1871" s="12"/>
      <c r="U1871" s="10" t="str">
        <f>HYPERLINK("https://pbs.twimg.com/profile_images/1490203872/img030.jpg","View")</f>
        <v>View</v>
      </c>
    </row>
    <row r="1872" spans="1:21" ht="40.799999999999997">
      <c r="A1872" s="6">
        <v>43426.750567129631</v>
      </c>
      <c r="B1872" s="7" t="str">
        <f>HYPERLINK("https://twitter.com/Indyelindio","@Indyelindio")</f>
        <v>@Indyelindio</v>
      </c>
      <c r="C1872" s="8" t="s">
        <v>6643</v>
      </c>
      <c r="D1872" s="9" t="s">
        <v>6644</v>
      </c>
      <c r="E1872" s="10" t="str">
        <f>HYPERLINK("https://twitter.com/Indyelindio/status/1065651326980378624","1065651326980378624")</f>
        <v>1065651326980378624</v>
      </c>
      <c r="F1872" s="12"/>
      <c r="G1872" s="12"/>
      <c r="H1872" s="12"/>
      <c r="I1872" s="13">
        <v>1</v>
      </c>
      <c r="J1872" s="13">
        <v>0</v>
      </c>
      <c r="K1872" s="14" t="str">
        <f>HYPERLINK("http://twitter.com/download/iphone","Twitter for iPhone")</f>
        <v>Twitter for iPhone</v>
      </c>
      <c r="L1872" s="13">
        <v>85</v>
      </c>
      <c r="M1872" s="13">
        <v>295</v>
      </c>
      <c r="N1872" s="13">
        <v>0</v>
      </c>
      <c r="O1872" s="15"/>
      <c r="P1872" s="6">
        <v>43086.937037037038</v>
      </c>
      <c r="Q1872" s="17" t="s">
        <v>6645</v>
      </c>
      <c r="R1872" s="18" t="s">
        <v>6646</v>
      </c>
      <c r="S1872" s="12"/>
      <c r="T1872" s="12"/>
      <c r="U1872" s="10" t="str">
        <f>HYPERLINK("https://pbs.twimg.com/profile_images/1059503826938535937/-X6tppE5.jpg","View")</f>
        <v>View</v>
      </c>
    </row>
    <row r="1873" spans="1:21" ht="13.2">
      <c r="A1873" s="6">
        <v>43426.750567129631</v>
      </c>
      <c r="B1873" s="7" t="str">
        <f>HYPERLINK("https://twitter.com/newsv24","@newsv24")</f>
        <v>@newsv24</v>
      </c>
      <c r="C1873" s="8" t="s">
        <v>4215</v>
      </c>
      <c r="D1873" s="9" t="s">
        <v>6892</v>
      </c>
      <c r="E1873" s="10" t="str">
        <f>HYPERLINK("https://twitter.com/newsv24/status/1065651325927677954","1065651325927677954")</f>
        <v>1065651325927677954</v>
      </c>
      <c r="F1873" s="11" t="s">
        <v>6893</v>
      </c>
      <c r="G1873" s="11" t="s">
        <v>6894</v>
      </c>
      <c r="H1873" s="12"/>
      <c r="I1873" s="13">
        <v>0</v>
      </c>
      <c r="J1873" s="13">
        <v>0</v>
      </c>
      <c r="K1873" s="14" t="str">
        <f>HYPERLINK("http://publicize.wp.com/","WordPress.com")</f>
        <v>WordPress.com</v>
      </c>
      <c r="L1873" s="13">
        <v>9</v>
      </c>
      <c r="M1873" s="13">
        <v>0</v>
      </c>
      <c r="N1873" s="13">
        <v>0</v>
      </c>
      <c r="O1873" s="15"/>
      <c r="P1873" s="6">
        <v>43333.995590277773</v>
      </c>
      <c r="Q1873" s="12"/>
      <c r="R1873" s="18" t="s">
        <v>4219</v>
      </c>
      <c r="S1873" s="11" t="s">
        <v>4220</v>
      </c>
      <c r="T1873" s="12"/>
      <c r="U1873" s="10" t="str">
        <f>HYPERLINK("https://pbs.twimg.com/profile_images/1054474206157639680/xvI2ObRw.jpg","View")</f>
        <v>View</v>
      </c>
    </row>
    <row r="1874" spans="1:21" ht="40.799999999999997">
      <c r="A1874" s="6">
        <v>43426.750347222223</v>
      </c>
      <c r="B1874" s="7" t="str">
        <f>HYPERLINK("https://twitter.com/leopoldo_celta","@leopoldo_celta")</f>
        <v>@leopoldo_celta</v>
      </c>
      <c r="C1874" s="8" t="s">
        <v>6895</v>
      </c>
      <c r="D1874" s="9" t="s">
        <v>6896</v>
      </c>
      <c r="E1874" s="10" t="str">
        <f>HYPERLINK("https://twitter.com/leopoldo_celta/status/1065651243979288577","1065651243979288577")</f>
        <v>1065651243979288577</v>
      </c>
      <c r="F1874" s="11" t="s">
        <v>6897</v>
      </c>
      <c r="G1874" s="12"/>
      <c r="H1874" s="12"/>
      <c r="I1874" s="13">
        <v>0</v>
      </c>
      <c r="J1874" s="13">
        <v>0</v>
      </c>
      <c r="K1874" s="14" t="str">
        <f>HYPERLINK("http://twitter.com","Twitter Web Client")</f>
        <v>Twitter Web Client</v>
      </c>
      <c r="L1874" s="13">
        <v>398</v>
      </c>
      <c r="M1874" s="13">
        <v>802</v>
      </c>
      <c r="N1874" s="13">
        <v>19</v>
      </c>
      <c r="O1874" s="15"/>
      <c r="P1874" s="6">
        <v>40990.973460648151</v>
      </c>
      <c r="Q1874" s="17" t="s">
        <v>6898</v>
      </c>
      <c r="R1874" s="18" t="s">
        <v>6899</v>
      </c>
      <c r="S1874" s="12"/>
      <c r="T1874" s="12"/>
      <c r="U1874" s="10" t="str">
        <f>HYPERLINK("https://pbs.twimg.com/profile_images/1986348711/ApKzNAkCAAEZSfd.jpg","View")</f>
        <v>View</v>
      </c>
    </row>
    <row r="1875" spans="1:21" ht="40.799999999999997">
      <c r="A1875" s="6">
        <v>43426.750324074077</v>
      </c>
      <c r="B1875" s="7" t="str">
        <f>HYPERLINK("https://twitter.com/Farodevigo","@Farodevigo")</f>
        <v>@Farodevigo</v>
      </c>
      <c r="C1875" s="8" t="s">
        <v>3060</v>
      </c>
      <c r="D1875" s="9" t="s">
        <v>6900</v>
      </c>
      <c r="E1875" s="10" t="str">
        <f>HYPERLINK("https://twitter.com/Farodevigo/status/1065651235515219968","1065651235515219968")</f>
        <v>1065651235515219968</v>
      </c>
      <c r="F1875" s="11" t="s">
        <v>6901</v>
      </c>
      <c r="G1875" s="12"/>
      <c r="H1875" s="12"/>
      <c r="I1875" s="13">
        <v>0</v>
      </c>
      <c r="J1875" s="13">
        <v>1</v>
      </c>
      <c r="K1875" s="14" t="str">
        <f>HYPERLINK("https://www.hootsuite.com","Hootsuite Inc.")</f>
        <v>Hootsuite Inc.</v>
      </c>
      <c r="L1875" s="13">
        <v>153371</v>
      </c>
      <c r="M1875" s="13">
        <v>751</v>
      </c>
      <c r="N1875" s="13">
        <v>1434</v>
      </c>
      <c r="O1875" s="16" t="s">
        <v>26</v>
      </c>
      <c r="P1875" s="6">
        <v>40316.670081018521</v>
      </c>
      <c r="Q1875" s="17" t="s">
        <v>2277</v>
      </c>
      <c r="R1875" s="18" t="s">
        <v>3063</v>
      </c>
      <c r="S1875" s="11" t="s">
        <v>3064</v>
      </c>
      <c r="T1875" s="12"/>
      <c r="U1875" s="10" t="str">
        <f>HYPERLINK("https://pbs.twimg.com/profile_images/492588664711417856/0wPiv7WF.jpeg","View")</f>
        <v>View</v>
      </c>
    </row>
    <row r="1876" spans="1:21" ht="30.6">
      <c r="A1876" s="6">
        <v>43426.75001157407</v>
      </c>
      <c r="B1876" s="7" t="str">
        <f>HYPERLINK("https://twitter.com/trabajadorescu","@trabajadorescu")</f>
        <v>@trabajadorescu</v>
      </c>
      <c r="C1876" s="20" t="s">
        <v>1203</v>
      </c>
      <c r="D1876" s="9" t="s">
        <v>6902</v>
      </c>
      <c r="E1876" s="10" t="str">
        <f>HYPERLINK("https://twitter.com/trabajadorescu/status/1065651123783065600","1065651123783065600")</f>
        <v>1065651123783065600</v>
      </c>
      <c r="F1876" s="12"/>
      <c r="G1876" s="11" t="s">
        <v>6903</v>
      </c>
      <c r="H1876" s="12"/>
      <c r="I1876" s="13">
        <v>1</v>
      </c>
      <c r="J1876" s="13">
        <v>1</v>
      </c>
      <c r="K1876" s="14" t="str">
        <f t="shared" ref="K1876:K1877" si="304">HYPERLINK("https://about.twitter.com/products/tweetdeck","TweetDeck")</f>
        <v>TweetDeck</v>
      </c>
      <c r="L1876" s="13">
        <v>9838</v>
      </c>
      <c r="M1876" s="13">
        <v>272</v>
      </c>
      <c r="N1876" s="13">
        <v>151</v>
      </c>
      <c r="O1876" s="15"/>
      <c r="P1876" s="6">
        <v>40304.712233796294</v>
      </c>
      <c r="Q1876" s="17" t="s">
        <v>52</v>
      </c>
      <c r="R1876" s="18" t="s">
        <v>1206</v>
      </c>
      <c r="S1876" s="11" t="s">
        <v>1207</v>
      </c>
      <c r="T1876" s="12"/>
      <c r="U1876" s="10" t="str">
        <f>HYPERLINK("https://pbs.twimg.com/profile_images/986694080213037056/J0pt8JjI.jpg","View")</f>
        <v>View</v>
      </c>
    </row>
    <row r="1877" spans="1:21" ht="20.399999999999999">
      <c r="A1877" s="6">
        <v>43426.75001157407</v>
      </c>
      <c r="B1877" s="7" t="str">
        <f>HYPERLINK("https://twitter.com/cuartopoder","@cuartopoder")</f>
        <v>@cuartopoder</v>
      </c>
      <c r="C1877" s="20" t="s">
        <v>6904</v>
      </c>
      <c r="D1877" s="9" t="s">
        <v>6905</v>
      </c>
      <c r="E1877" s="10" t="str">
        <f>HYPERLINK("https://twitter.com/cuartopoder/status/1065651123434864640","1065651123434864640")</f>
        <v>1065651123434864640</v>
      </c>
      <c r="F1877" s="11" t="s">
        <v>6906</v>
      </c>
      <c r="G1877" s="12"/>
      <c r="H1877" s="12"/>
      <c r="I1877" s="13">
        <v>4</v>
      </c>
      <c r="J1877" s="13">
        <v>2</v>
      </c>
      <c r="K1877" s="14" t="str">
        <f t="shared" si="304"/>
        <v>TweetDeck</v>
      </c>
      <c r="L1877" s="13">
        <v>53157</v>
      </c>
      <c r="M1877" s="13">
        <v>879</v>
      </c>
      <c r="N1877" s="13">
        <v>2355</v>
      </c>
      <c r="O1877" s="15"/>
      <c r="P1877" s="6">
        <v>39890.807442129633</v>
      </c>
      <c r="Q1877" s="17" t="s">
        <v>27</v>
      </c>
      <c r="R1877" s="18" t="s">
        <v>6907</v>
      </c>
      <c r="S1877" s="11" t="s">
        <v>6908</v>
      </c>
      <c r="T1877" s="12"/>
      <c r="U1877" s="10" t="str">
        <f>HYPERLINK("https://pbs.twimg.com/profile_images/991918953978126336/Hz3kVoUk.jpg","View")</f>
        <v>View</v>
      </c>
    </row>
    <row r="1878" spans="1:21" ht="30.6">
      <c r="A1878" s="6">
        <v>43426.748888888891</v>
      </c>
      <c r="B1878" s="7" t="str">
        <f>HYPERLINK("https://twitter.com/JCarlosLuque65","@JCarlosLuque65")</f>
        <v>@JCarlosLuque65</v>
      </c>
      <c r="C1878" s="8" t="s">
        <v>6909</v>
      </c>
      <c r="D1878" s="9" t="s">
        <v>6910</v>
      </c>
      <c r="E1878" s="10" t="str">
        <f>HYPERLINK("https://twitter.com/JCarlosLuque65/status/1065650715840913408","1065650715840913408")</f>
        <v>1065650715840913408</v>
      </c>
      <c r="F1878" s="11" t="s">
        <v>1077</v>
      </c>
      <c r="G1878" s="12"/>
      <c r="H1878" s="12"/>
      <c r="I1878" s="13">
        <v>0</v>
      </c>
      <c r="J1878" s="13">
        <v>0</v>
      </c>
      <c r="K1878" s="14" t="str">
        <f>HYPERLINK("http://www.facebook.com/twitter","Facebook")</f>
        <v>Facebook</v>
      </c>
      <c r="L1878" s="13">
        <v>50</v>
      </c>
      <c r="M1878" s="13">
        <v>31</v>
      </c>
      <c r="N1878" s="13">
        <v>3</v>
      </c>
      <c r="O1878" s="15"/>
      <c r="P1878" s="6">
        <v>40893.876793981479</v>
      </c>
      <c r="Q1878" s="17" t="s">
        <v>6911</v>
      </c>
      <c r="R1878" s="18" t="s">
        <v>6912</v>
      </c>
      <c r="S1878" s="11" t="s">
        <v>6913</v>
      </c>
      <c r="T1878" s="12"/>
      <c r="U1878" s="16" t="s">
        <v>373</v>
      </c>
    </row>
    <row r="1879" spans="1:21" ht="20.399999999999999">
      <c r="A1879" s="6">
        <v>43426.748668981483</v>
      </c>
      <c r="B1879" s="7" t="str">
        <f>HYPERLINK("https://twitter.com/periodistadigit","@periodistadigit")</f>
        <v>@periodistadigit</v>
      </c>
      <c r="C1879" s="8" t="s">
        <v>599</v>
      </c>
      <c r="D1879" s="9" t="s">
        <v>6914</v>
      </c>
      <c r="E1879" s="10" t="str">
        <f>HYPERLINK("https://twitter.com/periodistadigit/status/1065650635654266880","1065650635654266880")</f>
        <v>1065650635654266880</v>
      </c>
      <c r="F1879" s="11" t="s">
        <v>1331</v>
      </c>
      <c r="G1879" s="12"/>
      <c r="H1879" s="12"/>
      <c r="I1879" s="13">
        <v>0</v>
      </c>
      <c r="J1879" s="13">
        <v>0</v>
      </c>
      <c r="K1879" s="14" t="str">
        <f>HYPERLINK("https://about.twitter.com/products/tweetdeck","TweetDeck")</f>
        <v>TweetDeck</v>
      </c>
      <c r="L1879" s="13">
        <v>56097</v>
      </c>
      <c r="M1879" s="13">
        <v>3791</v>
      </c>
      <c r="N1879" s="13">
        <v>1469</v>
      </c>
      <c r="O1879" s="16" t="s">
        <v>26</v>
      </c>
      <c r="P1879" s="6">
        <v>40084.916296296295</v>
      </c>
      <c r="Q1879" s="17" t="s">
        <v>72</v>
      </c>
      <c r="R1879" s="18" t="s">
        <v>601</v>
      </c>
      <c r="S1879" s="11" t="s">
        <v>74</v>
      </c>
      <c r="T1879" s="12"/>
      <c r="U1879" s="10" t="str">
        <f>HYPERLINK("https://pbs.twimg.com/profile_images/1913331873/periodista-digital.jpg","View")</f>
        <v>View</v>
      </c>
    </row>
    <row r="1880" spans="1:21" ht="30.6">
      <c r="A1880" s="6">
        <v>43426.748310185183</v>
      </c>
      <c r="B1880" s="7" t="str">
        <f>HYPERLINK("https://twitter.com/Libert_Democrac","@Libert_Democrac")</f>
        <v>@Libert_Democrac</v>
      </c>
      <c r="C1880" s="8" t="s">
        <v>6915</v>
      </c>
      <c r="D1880" s="9" t="s">
        <v>6916</v>
      </c>
      <c r="E1880" s="10" t="str">
        <f>HYPERLINK("https://twitter.com/Libert_Democrac/status/1065650508512280577","1065650508512280577")</f>
        <v>1065650508512280577</v>
      </c>
      <c r="F1880" s="12"/>
      <c r="G1880" s="12"/>
      <c r="H1880" s="12"/>
      <c r="I1880" s="13">
        <v>2</v>
      </c>
      <c r="J1880" s="13">
        <v>5</v>
      </c>
      <c r="K1880" s="14" t="str">
        <f>HYPERLINK("http://twitter.com/#!/download/ipad","Twitter for iPad")</f>
        <v>Twitter for iPad</v>
      </c>
      <c r="L1880" s="13">
        <v>2219</v>
      </c>
      <c r="M1880" s="13">
        <v>1242</v>
      </c>
      <c r="N1880" s="13">
        <v>37</v>
      </c>
      <c r="O1880" s="15"/>
      <c r="P1880" s="6">
        <v>42033.988773148143</v>
      </c>
      <c r="Q1880" s="17" t="s">
        <v>878</v>
      </c>
      <c r="R1880" s="18" t="s">
        <v>6917</v>
      </c>
      <c r="S1880" s="12"/>
      <c r="T1880" s="12"/>
      <c r="U1880" s="10" t="str">
        <f>HYPERLINK("https://pbs.twimg.com/profile_images/957031877352873985/aXOE-NT2.jpg","View")</f>
        <v>View</v>
      </c>
    </row>
    <row r="1881" spans="1:21" ht="40.799999999999997">
      <c r="A1881" s="6">
        <v>43426.748194444444</v>
      </c>
      <c r="B1881" s="7" t="str">
        <f t="shared" ref="B1881:B1882" si="305">HYPERLINK("https://twitter.com/gcareaga18","@gcareaga18")</f>
        <v>@gcareaga18</v>
      </c>
      <c r="C1881" s="8" t="s">
        <v>1373</v>
      </c>
      <c r="D1881" s="9" t="s">
        <v>6918</v>
      </c>
      <c r="E1881" s="10" t="str">
        <f>HYPERLINK("https://twitter.com/gcareaga18/status/1065650463809421312","1065650463809421312")</f>
        <v>1065650463809421312</v>
      </c>
      <c r="F1881" s="11" t="s">
        <v>6919</v>
      </c>
      <c r="G1881" s="11" t="s">
        <v>5199</v>
      </c>
      <c r="H1881" s="12"/>
      <c r="I1881" s="13">
        <v>0</v>
      </c>
      <c r="J1881" s="13">
        <v>0</v>
      </c>
      <c r="K1881" s="14" t="str">
        <f t="shared" ref="K1881:K1882" si="306">HYPERLINK("https://ifttt.com","IFTTT")</f>
        <v>IFTTT</v>
      </c>
      <c r="L1881" s="13">
        <v>47</v>
      </c>
      <c r="M1881" s="13">
        <v>200</v>
      </c>
      <c r="N1881" s="13">
        <v>1</v>
      </c>
      <c r="O1881" s="15"/>
      <c r="P1881" s="6">
        <v>41888.012986111113</v>
      </c>
      <c r="Q1881" s="17" t="s">
        <v>497</v>
      </c>
      <c r="R1881" s="18" t="s">
        <v>1376</v>
      </c>
      <c r="S1881" s="12"/>
      <c r="T1881" s="12"/>
      <c r="U1881" s="10" t="str">
        <f t="shared" ref="U1881:U1882" si="307">HYPERLINK("https://pbs.twimg.com/profile_images/984612980334702592/3NYg9Rnm.jpg","View")</f>
        <v>View</v>
      </c>
    </row>
    <row r="1882" spans="1:21" ht="40.799999999999997">
      <c r="A1882" s="6">
        <v>43426.748182870375</v>
      </c>
      <c r="B1882" s="7" t="str">
        <f t="shared" si="305"/>
        <v>@gcareaga18</v>
      </c>
      <c r="C1882" s="8" t="s">
        <v>1373</v>
      </c>
      <c r="D1882" s="9" t="s">
        <v>6920</v>
      </c>
      <c r="E1882" s="10" t="str">
        <f>HYPERLINK("https://twitter.com/gcareaga18/status/1065650461917831168","1065650461917831168")</f>
        <v>1065650461917831168</v>
      </c>
      <c r="F1882" s="11" t="s">
        <v>6272</v>
      </c>
      <c r="G1882" s="11" t="s">
        <v>6921</v>
      </c>
      <c r="H1882" s="12"/>
      <c r="I1882" s="13">
        <v>0</v>
      </c>
      <c r="J1882" s="13">
        <v>0</v>
      </c>
      <c r="K1882" s="14" t="str">
        <f t="shared" si="306"/>
        <v>IFTTT</v>
      </c>
      <c r="L1882" s="13">
        <v>47</v>
      </c>
      <c r="M1882" s="13">
        <v>200</v>
      </c>
      <c r="N1882" s="13">
        <v>1</v>
      </c>
      <c r="O1882" s="15"/>
      <c r="P1882" s="6">
        <v>41888.012986111113</v>
      </c>
      <c r="Q1882" s="17" t="s">
        <v>497</v>
      </c>
      <c r="R1882" s="18" t="s">
        <v>1376</v>
      </c>
      <c r="S1882" s="12"/>
      <c r="T1882" s="12"/>
      <c r="U1882" s="10" t="str">
        <f t="shared" si="307"/>
        <v>View</v>
      </c>
    </row>
    <row r="1883" spans="1:21" ht="40.799999999999997">
      <c r="A1883" s="6">
        <v>43426.748124999998</v>
      </c>
      <c r="B1883" s="7" t="str">
        <f>HYPERLINK("https://twitter.com/DaniPintoB","@DaniPintoB")</f>
        <v>@DaniPintoB</v>
      </c>
      <c r="C1883" s="8" t="s">
        <v>6922</v>
      </c>
      <c r="D1883" s="9" t="s">
        <v>6923</v>
      </c>
      <c r="E1883" s="10" t="str">
        <f>HYPERLINK("https://twitter.com/DaniPintoB/status/1065650438886830082","1065650438886830082")</f>
        <v>1065650438886830082</v>
      </c>
      <c r="F1883" s="11" t="s">
        <v>607</v>
      </c>
      <c r="G1883" s="12"/>
      <c r="H1883" s="12"/>
      <c r="I1883" s="13">
        <v>49</v>
      </c>
      <c r="J1883" s="13">
        <v>53</v>
      </c>
      <c r="K1883" s="14" t="str">
        <f>HYPERLINK("http://twitter.com/download/iphone","Twitter for iPhone")</f>
        <v>Twitter for iPhone</v>
      </c>
      <c r="L1883" s="13">
        <v>46199</v>
      </c>
      <c r="M1883" s="13">
        <v>32747</v>
      </c>
      <c r="N1883" s="13">
        <v>234</v>
      </c>
      <c r="O1883" s="15"/>
      <c r="P1883" s="6">
        <v>40300.900092592594</v>
      </c>
      <c r="Q1883" s="17" t="s">
        <v>6924</v>
      </c>
      <c r="R1883" s="18" t="s">
        <v>6925</v>
      </c>
      <c r="S1883" s="11" t="s">
        <v>6926</v>
      </c>
      <c r="T1883" s="12"/>
      <c r="U1883" s="10" t="str">
        <f>HYPERLINK("https://pbs.twimg.com/profile_images/1031594836867072002/UeabY149.jpg","View")</f>
        <v>View</v>
      </c>
    </row>
    <row r="1884" spans="1:21" ht="40.799999999999997">
      <c r="A1884" s="6">
        <v>43426.74722222222</v>
      </c>
      <c r="B1884" s="7" t="str">
        <f>HYPERLINK("https://twitter.com/radioequinoccio","@radioequinoccio")</f>
        <v>@radioequinoccio</v>
      </c>
      <c r="C1884" s="20" t="s">
        <v>6927</v>
      </c>
      <c r="D1884" s="9" t="s">
        <v>6928</v>
      </c>
      <c r="E1884" s="10" t="str">
        <f>HYPERLINK("https://twitter.com/radioequinoccio/status/1065650113417306113","1065650113417306113")</f>
        <v>1065650113417306113</v>
      </c>
      <c r="F1884" s="12"/>
      <c r="G1884" s="12"/>
      <c r="H1884" s="12"/>
      <c r="I1884" s="13">
        <v>0</v>
      </c>
      <c r="J1884" s="13">
        <v>0</v>
      </c>
      <c r="K1884" s="14" t="str">
        <f t="shared" ref="K1884:K1885" si="308">HYPERLINK("http://twitter.com","Twitter Web Client")</f>
        <v>Twitter Web Client</v>
      </c>
      <c r="L1884" s="13">
        <v>802</v>
      </c>
      <c r="M1884" s="13">
        <v>1855</v>
      </c>
      <c r="N1884" s="13">
        <v>18</v>
      </c>
      <c r="O1884" s="15"/>
      <c r="P1884" s="6">
        <v>40365.808923611112</v>
      </c>
      <c r="Q1884" s="17" t="s">
        <v>3136</v>
      </c>
      <c r="R1884" s="18" t="s">
        <v>6929</v>
      </c>
      <c r="S1884" s="11" t="s">
        <v>6930</v>
      </c>
      <c r="T1884" s="12"/>
      <c r="U1884" s="16" t="s">
        <v>373</v>
      </c>
    </row>
    <row r="1885" spans="1:21" ht="40.799999999999997">
      <c r="A1885" s="6">
        <v>43426.746921296297</v>
      </c>
      <c r="B1885" s="7" t="str">
        <f>HYPERLINK("https://twitter.com/yoanisanchez","@yoanisanchez")</f>
        <v>@yoanisanchez</v>
      </c>
      <c r="C1885" s="8" t="s">
        <v>170</v>
      </c>
      <c r="D1885" s="9" t="s">
        <v>6918</v>
      </c>
      <c r="E1885" s="10" t="str">
        <f>HYPERLINK("https://twitter.com/yoanisanchez/status/1065650002716962817","1065650002716962817")</f>
        <v>1065650002716962817</v>
      </c>
      <c r="F1885" s="11" t="s">
        <v>6919</v>
      </c>
      <c r="G1885" s="11" t="s">
        <v>5199</v>
      </c>
      <c r="H1885" s="12"/>
      <c r="I1885" s="13">
        <v>234</v>
      </c>
      <c r="J1885" s="13">
        <v>247</v>
      </c>
      <c r="K1885" s="14" t="str">
        <f t="shared" si="308"/>
        <v>Twitter Web Client</v>
      </c>
      <c r="L1885" s="13">
        <v>756016</v>
      </c>
      <c r="M1885" s="13">
        <v>83952</v>
      </c>
      <c r="N1885" s="13">
        <v>9394</v>
      </c>
      <c r="O1885" s="16" t="s">
        <v>26</v>
      </c>
      <c r="P1885" s="6">
        <v>39685.015219907407</v>
      </c>
      <c r="Q1885" s="17" t="s">
        <v>40</v>
      </c>
      <c r="R1885" s="18" t="s">
        <v>173</v>
      </c>
      <c r="S1885" s="11" t="s">
        <v>174</v>
      </c>
      <c r="T1885" s="12"/>
      <c r="U1885" s="10" t="str">
        <f>HYPERLINK("https://pbs.twimg.com/profile_images/932259310108753920/LQ1YpmBM.jpg","View")</f>
        <v>View</v>
      </c>
    </row>
    <row r="1886" spans="1:21" ht="51">
      <c r="A1886" s="6">
        <v>43426.746840277774</v>
      </c>
      <c r="B1886" s="7" t="str">
        <f>HYPERLINK("https://twitter.com/chicha1711","@chicha1711")</f>
        <v>@chicha1711</v>
      </c>
      <c r="C1886" s="8" t="s">
        <v>6931</v>
      </c>
      <c r="D1886" s="9" t="s">
        <v>6932</v>
      </c>
      <c r="E1886" s="10" t="str">
        <f>HYPERLINK("https://twitter.com/chicha1711/status/1065649974048948224","1065649974048948224")</f>
        <v>1065649974048948224</v>
      </c>
      <c r="F1886" s="11" t="s">
        <v>6933</v>
      </c>
      <c r="G1886" s="12"/>
      <c r="H1886" s="12"/>
      <c r="I1886" s="13">
        <v>1</v>
      </c>
      <c r="J1886" s="13">
        <v>1</v>
      </c>
      <c r="K1886" s="14" t="str">
        <f>HYPERLINK("http://twitter.com/download/iphone","Twitter for iPhone")</f>
        <v>Twitter for iPhone</v>
      </c>
      <c r="L1886" s="13">
        <v>20</v>
      </c>
      <c r="M1886" s="13">
        <v>31</v>
      </c>
      <c r="N1886" s="13">
        <v>0</v>
      </c>
      <c r="O1886" s="15"/>
      <c r="P1886" s="6">
        <v>43405.944884259261</v>
      </c>
      <c r="Q1886" s="12"/>
      <c r="R1886" s="19"/>
      <c r="S1886" s="12"/>
      <c r="T1886" s="12"/>
      <c r="U1886" s="10" t="str">
        <f>HYPERLINK("https://pbs.twimg.com/profile_images/1058112794116177921/G5qdlboJ.jpg","View")</f>
        <v>View</v>
      </c>
    </row>
    <row r="1887" spans="1:21" ht="20.399999999999999">
      <c r="A1887" s="6">
        <v>43426.746458333335</v>
      </c>
      <c r="B1887" s="7" t="str">
        <f>HYPERLINK("https://twitter.com/hopedsy","@hopedsy")</f>
        <v>@hopedsy</v>
      </c>
      <c r="C1887" s="8" t="s">
        <v>6934</v>
      </c>
      <c r="D1887" s="9" t="s">
        <v>6745</v>
      </c>
      <c r="E1887" s="10" t="str">
        <f>HYPERLINK("https://twitter.com/hopedsy/status/1065649835599114240","1065649835599114240")</f>
        <v>1065649835599114240</v>
      </c>
      <c r="F1887" s="11" t="s">
        <v>6709</v>
      </c>
      <c r="G1887" s="12"/>
      <c r="H1887" s="12"/>
      <c r="I1887" s="13">
        <v>0</v>
      </c>
      <c r="J1887" s="13">
        <v>0</v>
      </c>
      <c r="K1887" s="14" t="str">
        <f>HYPERLINK("http://twitter.com/download/android","Twitter for Android")</f>
        <v>Twitter for Android</v>
      </c>
      <c r="L1887" s="13">
        <v>405</v>
      </c>
      <c r="M1887" s="13">
        <v>566</v>
      </c>
      <c r="N1887" s="13">
        <v>15</v>
      </c>
      <c r="O1887" s="15"/>
      <c r="P1887" s="6">
        <v>42568.50172453704</v>
      </c>
      <c r="Q1887" s="12"/>
      <c r="R1887" s="18" t="s">
        <v>6936</v>
      </c>
      <c r="S1887" s="12"/>
      <c r="T1887" s="12"/>
      <c r="U1887" s="10" t="str">
        <f>HYPERLINK("https://pbs.twimg.com/profile_images/814237291229147136/bJPBbvoq.jpg","View")</f>
        <v>View</v>
      </c>
    </row>
    <row r="1888" spans="1:21" ht="40.799999999999997">
      <c r="A1888" s="6">
        <v>43426.745879629627</v>
      </c>
      <c r="B1888" s="7" t="str">
        <f>HYPERLINK("https://twitter.com/yoanisanchez","@yoanisanchez")</f>
        <v>@yoanisanchez</v>
      </c>
      <c r="C1888" s="8" t="s">
        <v>170</v>
      </c>
      <c r="D1888" s="9" t="s">
        <v>6920</v>
      </c>
      <c r="E1888" s="10" t="str">
        <f>HYPERLINK("https://twitter.com/yoanisanchez/status/1065649626278174721","1065649626278174721")</f>
        <v>1065649626278174721</v>
      </c>
      <c r="F1888" s="11" t="s">
        <v>6272</v>
      </c>
      <c r="G1888" s="11" t="s">
        <v>6921</v>
      </c>
      <c r="H1888" s="12"/>
      <c r="I1888" s="13">
        <v>75</v>
      </c>
      <c r="J1888" s="13">
        <v>57</v>
      </c>
      <c r="K1888" s="14" t="str">
        <f>HYPERLINK("http://twitter.com","Twitter Web Client")</f>
        <v>Twitter Web Client</v>
      </c>
      <c r="L1888" s="13">
        <v>756016</v>
      </c>
      <c r="M1888" s="13">
        <v>83952</v>
      </c>
      <c r="N1888" s="13">
        <v>9394</v>
      </c>
      <c r="O1888" s="16" t="s">
        <v>26</v>
      </c>
      <c r="P1888" s="6">
        <v>39685.015219907407</v>
      </c>
      <c r="Q1888" s="17" t="s">
        <v>40</v>
      </c>
      <c r="R1888" s="18" t="s">
        <v>173</v>
      </c>
      <c r="S1888" s="11" t="s">
        <v>174</v>
      </c>
      <c r="T1888" s="12"/>
      <c r="U1888" s="10" t="str">
        <f>HYPERLINK("https://pbs.twimg.com/profile_images/932259310108753920/LQ1YpmBM.jpg","View")</f>
        <v>View</v>
      </c>
    </row>
    <row r="1889" spans="1:21" ht="30.6">
      <c r="A1889" s="6">
        <v>43426.745763888888</v>
      </c>
      <c r="B1889" s="7" t="str">
        <f>HYPERLINK("https://twitter.com/AlanVillarreal","@AlanVillarreal")</f>
        <v>@AlanVillarreal</v>
      </c>
      <c r="C1889" s="8" t="s">
        <v>6937</v>
      </c>
      <c r="D1889" s="9" t="s">
        <v>6938</v>
      </c>
      <c r="E1889" s="10" t="str">
        <f>HYPERLINK("https://twitter.com/AlanVillarreal/status/1065649584796590082","1065649584796590082")</f>
        <v>1065649584796590082</v>
      </c>
      <c r="F1889" s="12"/>
      <c r="G1889" s="12"/>
      <c r="H1889" s="12"/>
      <c r="I1889" s="13">
        <v>0</v>
      </c>
      <c r="J1889" s="13">
        <v>0</v>
      </c>
      <c r="K1889" s="14" t="str">
        <f>HYPERLINK("http://twitter.com/download/iphone","Twitter for iPhone")</f>
        <v>Twitter for iPhone</v>
      </c>
      <c r="L1889" s="13">
        <v>252</v>
      </c>
      <c r="M1889" s="13">
        <v>312</v>
      </c>
      <c r="N1889" s="13">
        <v>12</v>
      </c>
      <c r="O1889" s="15"/>
      <c r="P1889" s="6">
        <v>39897.148032407407</v>
      </c>
      <c r="Q1889" s="17" t="s">
        <v>6939</v>
      </c>
      <c r="R1889" s="18" t="s">
        <v>6940</v>
      </c>
      <c r="S1889" s="12"/>
      <c r="T1889" s="12"/>
      <c r="U1889" s="10" t="str">
        <f>HYPERLINK("https://pbs.twimg.com/profile_images/564315047589994496/GGbuycNa.jpeg","View")</f>
        <v>View</v>
      </c>
    </row>
    <row r="1890" spans="1:21" ht="30.6">
      <c r="A1890" s="6">
        <v>43426.745590277773</v>
      </c>
      <c r="B1890" s="7" t="str">
        <f>HYPERLINK("https://twitter.com/jc_karnak23","@jc_karnak23")</f>
        <v>@jc_karnak23</v>
      </c>
      <c r="C1890" s="8" t="s">
        <v>1547</v>
      </c>
      <c r="D1890" s="9" t="s">
        <v>6745</v>
      </c>
      <c r="E1890" s="10" t="str">
        <f>HYPERLINK("https://twitter.com/jc_karnak23/status/1065649523937153025","1065649523937153025")</f>
        <v>1065649523937153025</v>
      </c>
      <c r="F1890" s="11" t="s">
        <v>6709</v>
      </c>
      <c r="G1890" s="12"/>
      <c r="H1890" s="12"/>
      <c r="I1890" s="13">
        <v>0</v>
      </c>
      <c r="J1890" s="13">
        <v>0</v>
      </c>
      <c r="K1890" s="14" t="str">
        <f t="shared" ref="K1890:K1891" si="309">HYPERLINK("http://twitter.com/download/android","Twitter for Android")</f>
        <v>Twitter for Android</v>
      </c>
      <c r="L1890" s="13">
        <v>2819</v>
      </c>
      <c r="M1890" s="13">
        <v>2824</v>
      </c>
      <c r="N1890" s="13">
        <v>33</v>
      </c>
      <c r="O1890" s="15"/>
      <c r="P1890" s="6">
        <v>41344.410902777774</v>
      </c>
      <c r="Q1890" s="17" t="s">
        <v>1550</v>
      </c>
      <c r="R1890" s="18" t="s">
        <v>1551</v>
      </c>
      <c r="S1890" s="12"/>
      <c r="T1890" s="12"/>
      <c r="U1890" s="10" t="str">
        <f>HYPERLINK("https://pbs.twimg.com/profile_images/378800000791829812/b1c03852c594214bb9fbd4c8b553b4f9.jpeg","View")</f>
        <v>View</v>
      </c>
    </row>
    <row r="1891" spans="1:21" ht="20.399999999999999">
      <c r="A1891" s="6">
        <v>43426.745289351849</v>
      </c>
      <c r="B1891" s="7" t="str">
        <f>HYPERLINK("https://twitter.com/jaccarreras","@jaccarreras")</f>
        <v>@jaccarreras</v>
      </c>
      <c r="C1891" s="8" t="s">
        <v>6941</v>
      </c>
      <c r="D1891" s="9" t="s">
        <v>6745</v>
      </c>
      <c r="E1891" s="10" t="str">
        <f>HYPERLINK("https://twitter.com/jaccarreras/status/1065649414801379329","1065649414801379329")</f>
        <v>1065649414801379329</v>
      </c>
      <c r="F1891" s="11" t="s">
        <v>6709</v>
      </c>
      <c r="G1891" s="12"/>
      <c r="H1891" s="12"/>
      <c r="I1891" s="13">
        <v>0</v>
      </c>
      <c r="J1891" s="13">
        <v>0</v>
      </c>
      <c r="K1891" s="14" t="str">
        <f t="shared" si="309"/>
        <v>Twitter for Android</v>
      </c>
      <c r="L1891" s="13">
        <v>407</v>
      </c>
      <c r="M1891" s="13">
        <v>549</v>
      </c>
      <c r="N1891" s="13">
        <v>0</v>
      </c>
      <c r="O1891" s="15"/>
      <c r="P1891" s="6">
        <v>43012.895949074074</v>
      </c>
      <c r="Q1891" s="17" t="s">
        <v>392</v>
      </c>
      <c r="R1891" s="18" t="s">
        <v>6942</v>
      </c>
      <c r="S1891" s="12"/>
      <c r="T1891" s="12"/>
      <c r="U1891" s="10" t="str">
        <f>HYPERLINK("https://pbs.twimg.com/profile_images/1014622900509466627/LXRjIu1y.jpg","View")</f>
        <v>View</v>
      </c>
    </row>
    <row r="1892" spans="1:21" ht="30.6">
      <c r="A1892" s="6">
        <v>43426.744988425926</v>
      </c>
      <c r="B1892" s="7" t="str">
        <f>HYPERLINK("https://twitter.com/FuensantaLM","@FuensantaLM")</f>
        <v>@FuensantaLM</v>
      </c>
      <c r="C1892" s="8" t="s">
        <v>1343</v>
      </c>
      <c r="D1892" s="9" t="s">
        <v>6943</v>
      </c>
      <c r="E1892" s="10" t="str">
        <f>HYPERLINK("https://twitter.com/FuensantaLM/status/1065649303874650114","1065649303874650114")</f>
        <v>1065649303874650114</v>
      </c>
      <c r="F1892" s="11" t="s">
        <v>6944</v>
      </c>
      <c r="G1892" s="12"/>
      <c r="H1892" s="12"/>
      <c r="I1892" s="13">
        <v>0</v>
      </c>
      <c r="J1892" s="13">
        <v>1</v>
      </c>
      <c r="K1892" s="14" t="str">
        <f>HYPERLINK("http://twitter.com","Twitter Web Client")</f>
        <v>Twitter Web Client</v>
      </c>
      <c r="L1892" s="13">
        <v>14519</v>
      </c>
      <c r="M1892" s="13">
        <v>14525</v>
      </c>
      <c r="N1892" s="13">
        <v>191</v>
      </c>
      <c r="O1892" s="15"/>
      <c r="P1892" s="6">
        <v>41068.571076388893</v>
      </c>
      <c r="Q1892" s="17" t="s">
        <v>28</v>
      </c>
      <c r="R1892" s="18" t="s">
        <v>1349</v>
      </c>
      <c r="S1892" s="11" t="s">
        <v>1350</v>
      </c>
      <c r="T1892" s="12"/>
      <c r="U1892" s="10" t="str">
        <f>HYPERLINK("https://pbs.twimg.com/profile_images/984828025639526400/FWEVAQrE.jpg","View")</f>
        <v>View</v>
      </c>
    </row>
    <row r="1893" spans="1:21" ht="40.799999999999997">
      <c r="A1893" s="6">
        <v>43426.744467592594</v>
      </c>
      <c r="B1893" s="7" t="str">
        <f>HYPERLINK("https://twitter.com/ACN_Cuba","@ACN_Cuba")</f>
        <v>@ACN_Cuba</v>
      </c>
      <c r="C1893" s="8" t="s">
        <v>4145</v>
      </c>
      <c r="D1893" s="9" t="s">
        <v>6436</v>
      </c>
      <c r="E1893" s="10" t="str">
        <f>HYPERLINK("https://twitter.com/ACN_Cuba/status/1065649114032103424","1065649114032103424")</f>
        <v>1065649114032103424</v>
      </c>
      <c r="F1893" s="11" t="s">
        <v>6945</v>
      </c>
      <c r="G1893" s="11" t="s">
        <v>6946</v>
      </c>
      <c r="H1893" s="12"/>
      <c r="I1893" s="13">
        <v>1</v>
      </c>
      <c r="J1893" s="13">
        <v>0</v>
      </c>
      <c r="K1893" s="14" t="str">
        <f>HYPERLINK("https://about.twitter.com/products/tweetdeck","TweetDeck")</f>
        <v>TweetDeck</v>
      </c>
      <c r="L1893" s="13">
        <v>18596</v>
      </c>
      <c r="M1893" s="13">
        <v>274</v>
      </c>
      <c r="N1893" s="13">
        <v>325</v>
      </c>
      <c r="O1893" s="15"/>
      <c r="P1893" s="6">
        <v>40182.766030092593</v>
      </c>
      <c r="Q1893" s="17" t="s">
        <v>40</v>
      </c>
      <c r="R1893" s="18" t="s">
        <v>4148</v>
      </c>
      <c r="S1893" s="11" t="s">
        <v>4149</v>
      </c>
      <c r="T1893" s="12"/>
      <c r="U1893" s="10" t="str">
        <f>HYPERLINK("https://pbs.twimg.com/profile_images/862776840447967232/pBaMUvXI.jpg","View")</f>
        <v>View</v>
      </c>
    </row>
    <row r="1894" spans="1:21" ht="20.399999999999999">
      <c r="A1894" s="6">
        <v>43426.741840277777</v>
      </c>
      <c r="B1894" s="7" t="str">
        <f>HYPERLINK("https://twitter.com/pedroccastillo","@pedroccastillo")</f>
        <v>@pedroccastillo</v>
      </c>
      <c r="C1894" s="8" t="s">
        <v>6703</v>
      </c>
      <c r="D1894" s="9" t="s">
        <v>6704</v>
      </c>
      <c r="E1894" s="10" t="str">
        <f>HYPERLINK("https://twitter.com/pedroccastillo/status/1065648163321720834","1065648163321720834")</f>
        <v>1065648163321720834</v>
      </c>
      <c r="F1894" s="11" t="s">
        <v>6705</v>
      </c>
      <c r="G1894" s="12"/>
      <c r="H1894" s="12"/>
      <c r="I1894" s="13">
        <v>0</v>
      </c>
      <c r="J1894" s="13">
        <v>1</v>
      </c>
      <c r="K1894" s="14" t="str">
        <f>HYPERLINK("http://twitter.com/download/android","Twitter for Android")</f>
        <v>Twitter for Android</v>
      </c>
      <c r="L1894" s="13">
        <v>16402</v>
      </c>
      <c r="M1894" s="13">
        <v>15377</v>
      </c>
      <c r="N1894" s="13">
        <v>87</v>
      </c>
      <c r="O1894" s="15"/>
      <c r="P1894" s="6">
        <v>40455.732847222222</v>
      </c>
      <c r="Q1894" s="12"/>
      <c r="R1894" s="19"/>
      <c r="S1894" s="12"/>
      <c r="T1894" s="12"/>
      <c r="U1894" s="10" t="str">
        <f>HYPERLINK("https://pbs.twimg.com/profile_images/1040981005182619648/G4Pi5nsN.jpg","View")</f>
        <v>View</v>
      </c>
    </row>
    <row r="1895" spans="1:21" ht="40.799999999999997">
      <c r="A1895" s="6">
        <v>43426.74181712963</v>
      </c>
      <c r="B1895" s="7" t="str">
        <f>HYPERLINK("https://twitter.com/sadiocaracas","@sadiocaracas")</f>
        <v>@sadiocaracas</v>
      </c>
      <c r="C1895" s="8" t="s">
        <v>6947</v>
      </c>
      <c r="D1895" s="9" t="s">
        <v>6948</v>
      </c>
      <c r="E1895" s="10" t="str">
        <f>HYPERLINK("https://twitter.com/sadiocaracas/status/1065648154870206466","1065648154870206466")</f>
        <v>1065648154870206466</v>
      </c>
      <c r="F1895" s="11" t="s">
        <v>6949</v>
      </c>
      <c r="G1895" s="12"/>
      <c r="H1895" s="12"/>
      <c r="I1895" s="13">
        <v>0</v>
      </c>
      <c r="J1895" s="13">
        <v>0</v>
      </c>
      <c r="K1895" s="14" t="str">
        <f>HYPERLINK("http://twitter.com","Twitter Web Client")</f>
        <v>Twitter Web Client</v>
      </c>
      <c r="L1895" s="13">
        <v>24775</v>
      </c>
      <c r="M1895" s="13">
        <v>777</v>
      </c>
      <c r="N1895" s="13">
        <v>276</v>
      </c>
      <c r="O1895" s="15"/>
      <c r="P1895" s="6">
        <v>40476.933553240742</v>
      </c>
      <c r="Q1895" s="17" t="s">
        <v>1194</v>
      </c>
      <c r="R1895" s="18" t="s">
        <v>6950</v>
      </c>
      <c r="S1895" s="12"/>
      <c r="T1895" s="12"/>
      <c r="U1895" s="10" t="str">
        <f>HYPERLINK("https://pbs.twimg.com/profile_images/1058737751900803073/ZQFjKXML.jpg","View")</f>
        <v>View</v>
      </c>
    </row>
    <row r="1896" spans="1:21" ht="40.799999999999997">
      <c r="A1896" s="6">
        <v>43426.741805555561</v>
      </c>
      <c r="B1896" s="7" t="str">
        <f>HYPERLINK("https://twitter.com/Kleine_Rudiger","@Kleine_Rudiger")</f>
        <v>@Kleine_Rudiger</v>
      </c>
      <c r="C1896" s="8" t="s">
        <v>6951</v>
      </c>
      <c r="D1896" s="9" t="s">
        <v>6952</v>
      </c>
      <c r="E1896" s="10" t="str">
        <f>HYPERLINK("https://twitter.com/Kleine_Rudiger/status/1065648148809428993","1065648148809428993")</f>
        <v>1065648148809428993</v>
      </c>
      <c r="F1896" s="17" t="s">
        <v>6883</v>
      </c>
      <c r="G1896" s="12"/>
      <c r="H1896" s="12"/>
      <c r="I1896" s="13">
        <v>0</v>
      </c>
      <c r="J1896" s="13">
        <v>0</v>
      </c>
      <c r="K1896" s="14" t="str">
        <f t="shared" ref="K1896:K1897" si="310">HYPERLINK("http://twitter.com/download/android","Twitter for Android")</f>
        <v>Twitter for Android</v>
      </c>
      <c r="L1896" s="13">
        <v>59</v>
      </c>
      <c r="M1896" s="13">
        <v>280</v>
      </c>
      <c r="N1896" s="13">
        <v>0</v>
      </c>
      <c r="O1896" s="15"/>
      <c r="P1896" s="6">
        <v>41088.777974537035</v>
      </c>
      <c r="Q1896" s="17" t="s">
        <v>6953</v>
      </c>
      <c r="R1896" s="18" t="s">
        <v>6954</v>
      </c>
      <c r="S1896" s="12"/>
      <c r="T1896" s="12"/>
      <c r="U1896" s="10" t="str">
        <f>HYPERLINK("https://pbs.twimg.com/profile_images/480076100098605056/3X8yEDaB.jpeg","View")</f>
        <v>View</v>
      </c>
    </row>
    <row r="1897" spans="1:21" ht="40.799999999999997">
      <c r="A1897" s="6">
        <v>43426.741701388892</v>
      </c>
      <c r="B1897" s="7" t="str">
        <f>HYPERLINK("https://twitter.com/fralbaro","@fralbaro")</f>
        <v>@fralbaro</v>
      </c>
      <c r="C1897" s="8" t="s">
        <v>6406</v>
      </c>
      <c r="D1897" s="9" t="s">
        <v>6955</v>
      </c>
      <c r="E1897" s="10" t="str">
        <f>HYPERLINK("https://twitter.com/fralbaro/status/1065648111056576512","1065648111056576512")</f>
        <v>1065648111056576512</v>
      </c>
      <c r="F1897" s="11" t="s">
        <v>6956</v>
      </c>
      <c r="G1897" s="12"/>
      <c r="H1897" s="12"/>
      <c r="I1897" s="13">
        <v>1</v>
      </c>
      <c r="J1897" s="13">
        <v>1</v>
      </c>
      <c r="K1897" s="14" t="str">
        <f t="shared" si="310"/>
        <v>Twitter for Android</v>
      </c>
      <c r="L1897" s="13">
        <v>741</v>
      </c>
      <c r="M1897" s="13">
        <v>299</v>
      </c>
      <c r="N1897" s="13">
        <v>17</v>
      </c>
      <c r="O1897" s="15"/>
      <c r="P1897" s="6">
        <v>41322.636493055557</v>
      </c>
      <c r="Q1897" s="17" t="s">
        <v>6408</v>
      </c>
      <c r="R1897" s="18" t="s">
        <v>6409</v>
      </c>
      <c r="S1897" s="12"/>
      <c r="T1897" s="12"/>
      <c r="U1897" s="10" t="str">
        <f>HYPERLINK("https://pbs.twimg.com/profile_images/1025837365129031682/7qisDHsn.jpg","View")</f>
        <v>View</v>
      </c>
    </row>
    <row r="1898" spans="1:21" ht="30.6">
      <c r="A1898" s="6">
        <v>43426.741481481484</v>
      </c>
      <c r="B1898" s="7" t="str">
        <f>HYPERLINK("https://twitter.com/GlezGaliano","@GlezGaliano")</f>
        <v>@GlezGaliano</v>
      </c>
      <c r="C1898" s="8" t="s">
        <v>5188</v>
      </c>
      <c r="D1898" s="9" t="s">
        <v>6957</v>
      </c>
      <c r="E1898" s="10" t="str">
        <f>HYPERLINK("https://twitter.com/GlezGaliano/status/1065648034992857088","1065648034992857088")</f>
        <v>1065648034992857088</v>
      </c>
      <c r="F1898" s="11" t="s">
        <v>6958</v>
      </c>
      <c r="G1898" s="12"/>
      <c r="H1898" s="12"/>
      <c r="I1898" s="13">
        <v>2</v>
      </c>
      <c r="J1898" s="13">
        <v>0</v>
      </c>
      <c r="K1898" s="14" t="str">
        <f>HYPERLINK("http://twitter.com","Twitter Web Client")</f>
        <v>Twitter Web Client</v>
      </c>
      <c r="L1898" s="13">
        <v>6013</v>
      </c>
      <c r="M1898" s="13">
        <v>232</v>
      </c>
      <c r="N1898" s="13">
        <v>73</v>
      </c>
      <c r="O1898" s="16" t="s">
        <v>26</v>
      </c>
      <c r="P1898" s="6">
        <v>42088.948287037041</v>
      </c>
      <c r="Q1898" s="17" t="s">
        <v>40</v>
      </c>
      <c r="R1898" s="18" t="s">
        <v>5191</v>
      </c>
      <c r="S1898" s="11" t="s">
        <v>5192</v>
      </c>
      <c r="T1898" s="12"/>
      <c r="U1898" s="10" t="str">
        <f>HYPERLINK("https://pbs.twimg.com/profile_images/589146127020101634/2k3VDF1p.jpg","View")</f>
        <v>View</v>
      </c>
    </row>
    <row r="1899" spans="1:21" ht="40.799999999999997">
      <c r="A1899" s="6">
        <v>43426.741238425922</v>
      </c>
      <c r="B1899" s="7" t="str">
        <f>HYPERLINK("https://twitter.com/ACN_Cuba","@ACN_Cuba")</f>
        <v>@ACN_Cuba</v>
      </c>
      <c r="C1899" s="8" t="s">
        <v>4145</v>
      </c>
      <c r="D1899" s="9" t="s">
        <v>6959</v>
      </c>
      <c r="E1899" s="10" t="str">
        <f>HYPERLINK("https://twitter.com/ACN_Cuba/status/1065647945796726784","1065647945796726784")</f>
        <v>1065647945796726784</v>
      </c>
      <c r="F1899" s="11" t="s">
        <v>6960</v>
      </c>
      <c r="G1899" s="11" t="s">
        <v>6961</v>
      </c>
      <c r="H1899" s="12"/>
      <c r="I1899" s="13">
        <v>2</v>
      </c>
      <c r="J1899" s="13">
        <v>3</v>
      </c>
      <c r="K1899" s="14" t="str">
        <f>HYPERLINK("https://about.twitter.com/products/tweetdeck","TweetDeck")</f>
        <v>TweetDeck</v>
      </c>
      <c r="L1899" s="13">
        <v>18596</v>
      </c>
      <c r="M1899" s="13">
        <v>274</v>
      </c>
      <c r="N1899" s="13">
        <v>325</v>
      </c>
      <c r="O1899" s="15"/>
      <c r="P1899" s="6">
        <v>40182.766030092593</v>
      </c>
      <c r="Q1899" s="17" t="s">
        <v>40</v>
      </c>
      <c r="R1899" s="18" t="s">
        <v>4148</v>
      </c>
      <c r="S1899" s="11" t="s">
        <v>4149</v>
      </c>
      <c r="T1899" s="12"/>
      <c r="U1899" s="10" t="str">
        <f>HYPERLINK("https://pbs.twimg.com/profile_images/862776840447967232/pBaMUvXI.jpg","View")</f>
        <v>View</v>
      </c>
    </row>
    <row r="1900" spans="1:21" ht="30.6">
      <c r="A1900" s="6">
        <v>43426.740729166668</v>
      </c>
      <c r="B1900" s="7" t="str">
        <f>HYPERLINK("https://twitter.com/bezerides","@bezerides")</f>
        <v>@bezerides</v>
      </c>
      <c r="C1900" s="8" t="s">
        <v>6962</v>
      </c>
      <c r="D1900" s="9" t="s">
        <v>5952</v>
      </c>
      <c r="E1900" s="10" t="str">
        <f>HYPERLINK("https://twitter.com/bezerides/status/1065647759682879488","1065647759682879488")</f>
        <v>1065647759682879488</v>
      </c>
      <c r="F1900" s="11" t="s">
        <v>391</v>
      </c>
      <c r="G1900" s="12"/>
      <c r="H1900" s="12"/>
      <c r="I1900" s="13">
        <v>0</v>
      </c>
      <c r="J1900" s="13">
        <v>0</v>
      </c>
      <c r="K1900" s="14" t="str">
        <f t="shared" ref="K1900:K1901" si="311">HYPERLINK("http://twitter.com","Twitter Web Client")</f>
        <v>Twitter Web Client</v>
      </c>
      <c r="L1900" s="13">
        <v>2502</v>
      </c>
      <c r="M1900" s="13">
        <v>2330</v>
      </c>
      <c r="N1900" s="13">
        <v>44</v>
      </c>
      <c r="O1900" s="15"/>
      <c r="P1900" s="6">
        <v>40534.901145833333</v>
      </c>
      <c r="Q1900" s="17" t="s">
        <v>6963</v>
      </c>
      <c r="R1900" s="18" t="s">
        <v>6964</v>
      </c>
      <c r="S1900" s="12"/>
      <c r="T1900" s="12"/>
      <c r="U1900" s="10" t="str">
        <f>HYPERLINK("https://pbs.twimg.com/profile_images/378800000354258727/1f0306c7d24a3fd210cc4a771ba22534.jpeg","View")</f>
        <v>View</v>
      </c>
    </row>
    <row r="1901" spans="1:21" ht="20.399999999999999">
      <c r="A1901" s="6">
        <v>43426.740636574075</v>
      </c>
      <c r="B1901" s="7" t="str">
        <f>HYPERLINK("https://twitter.com/catymu2","@catymu2")</f>
        <v>@catymu2</v>
      </c>
      <c r="C1901" s="8" t="s">
        <v>542</v>
      </c>
      <c r="D1901" s="9" t="s">
        <v>1143</v>
      </c>
      <c r="E1901" s="10" t="str">
        <f>HYPERLINK("https://twitter.com/catymu2/status/1065647725792948224","1065647725792948224")</f>
        <v>1065647725792948224</v>
      </c>
      <c r="F1901" s="11" t="s">
        <v>6965</v>
      </c>
      <c r="G1901" s="12"/>
      <c r="H1901" s="12"/>
      <c r="I1901" s="13">
        <v>0</v>
      </c>
      <c r="J1901" s="13">
        <v>0</v>
      </c>
      <c r="K1901" s="14" t="str">
        <f t="shared" si="311"/>
        <v>Twitter Web Client</v>
      </c>
      <c r="L1901" s="13">
        <v>43</v>
      </c>
      <c r="M1901" s="13">
        <v>128</v>
      </c>
      <c r="N1901" s="13">
        <v>0</v>
      </c>
      <c r="O1901" s="15"/>
      <c r="P1901" s="6">
        <v>42432.456226851849</v>
      </c>
      <c r="Q1901" s="17" t="s">
        <v>28</v>
      </c>
      <c r="R1901" s="19"/>
      <c r="S1901" s="12"/>
      <c r="T1901" s="12"/>
      <c r="U1901" s="10" t="str">
        <f>HYPERLINK("https://pbs.twimg.com/profile_images/1009103258785402882/34q9w8XC.jpg","View")</f>
        <v>View</v>
      </c>
    </row>
    <row r="1902" spans="1:21" ht="20.399999999999999">
      <c r="A1902" s="6">
        <v>43426.739351851851</v>
      </c>
      <c r="B1902" s="7" t="str">
        <f>HYPERLINK("https://twitter.com/periodistadigit","@periodistadigit")</f>
        <v>@periodistadigit</v>
      </c>
      <c r="C1902" s="8" t="s">
        <v>599</v>
      </c>
      <c r="D1902" s="9" t="s">
        <v>6966</v>
      </c>
      <c r="E1902" s="10" t="str">
        <f>HYPERLINK("https://twitter.com/periodistadigit/status/1065647262162984966","1065647262162984966")</f>
        <v>1065647262162984966</v>
      </c>
      <c r="F1902" s="11" t="s">
        <v>1331</v>
      </c>
      <c r="G1902" s="12"/>
      <c r="H1902" s="12"/>
      <c r="I1902" s="13">
        <v>6</v>
      </c>
      <c r="J1902" s="13">
        <v>4</v>
      </c>
      <c r="K1902" s="14" t="str">
        <f t="shared" ref="K1902:K1903" si="312">HYPERLINK("https://about.twitter.com/products/tweetdeck","TweetDeck")</f>
        <v>TweetDeck</v>
      </c>
      <c r="L1902" s="13">
        <v>56097</v>
      </c>
      <c r="M1902" s="13">
        <v>3791</v>
      </c>
      <c r="N1902" s="13">
        <v>1469</v>
      </c>
      <c r="O1902" s="16" t="s">
        <v>26</v>
      </c>
      <c r="P1902" s="6">
        <v>40084.916296296295</v>
      </c>
      <c r="Q1902" s="17" t="s">
        <v>72</v>
      </c>
      <c r="R1902" s="18" t="s">
        <v>601</v>
      </c>
      <c r="S1902" s="11" t="s">
        <v>74</v>
      </c>
      <c r="T1902" s="12"/>
      <c r="U1902" s="10" t="str">
        <f>HYPERLINK("https://pbs.twimg.com/profile_images/1913331873/periodista-digital.jpg","View")</f>
        <v>View</v>
      </c>
    </row>
    <row r="1903" spans="1:21" ht="13.2">
      <c r="A1903" s="6">
        <v>43426.739293981482</v>
      </c>
      <c r="B1903" s="7" t="str">
        <f>HYPERLINK("https://twitter.com/juanvelarde72","@juanvelarde72")</f>
        <v>@juanvelarde72</v>
      </c>
      <c r="C1903" s="8" t="s">
        <v>603</v>
      </c>
      <c r="D1903" s="9" t="s">
        <v>6966</v>
      </c>
      <c r="E1903" s="10" t="str">
        <f>HYPERLINK("https://twitter.com/juanvelarde72/status/1065647239081676800","1065647239081676800")</f>
        <v>1065647239081676800</v>
      </c>
      <c r="F1903" s="11" t="s">
        <v>1331</v>
      </c>
      <c r="G1903" s="12"/>
      <c r="H1903" s="12"/>
      <c r="I1903" s="13">
        <v>0</v>
      </c>
      <c r="J1903" s="13">
        <v>0</v>
      </c>
      <c r="K1903" s="14" t="str">
        <f t="shared" si="312"/>
        <v>TweetDeck</v>
      </c>
      <c r="L1903" s="13">
        <v>1615</v>
      </c>
      <c r="M1903" s="13">
        <v>1578</v>
      </c>
      <c r="N1903" s="13">
        <v>22</v>
      </c>
      <c r="O1903" s="15"/>
      <c r="P1903" s="6">
        <v>42289.95722222222</v>
      </c>
      <c r="Q1903" s="17" t="s">
        <v>141</v>
      </c>
      <c r="R1903" s="19"/>
      <c r="S1903" s="11" t="s">
        <v>604</v>
      </c>
      <c r="T1903" s="12"/>
      <c r="U1903" s="10" t="str">
        <f>HYPERLINK("https://pbs.twimg.com/profile_images/996096460885233664/fOo4zl1U.jpg","View")</f>
        <v>View</v>
      </c>
    </row>
    <row r="1904" spans="1:21" ht="40.799999999999997">
      <c r="A1904" s="6">
        <v>43426.738738425927</v>
      </c>
      <c r="B1904" s="7" t="str">
        <f>HYPERLINK("https://twitter.com/hezmick","@hezmick")</f>
        <v>@hezmick</v>
      </c>
      <c r="C1904" s="8" t="s">
        <v>6967</v>
      </c>
      <c r="D1904" s="9" t="s">
        <v>6968</v>
      </c>
      <c r="E1904" s="10" t="str">
        <f>HYPERLINK("https://twitter.com/hezmick/status/1065647040120659968","1065647040120659968")</f>
        <v>1065647040120659968</v>
      </c>
      <c r="F1904" s="12"/>
      <c r="G1904" s="12"/>
      <c r="H1904" s="12"/>
      <c r="I1904" s="13">
        <v>1</v>
      </c>
      <c r="J1904" s="13">
        <v>0</v>
      </c>
      <c r="K1904" s="14" t="str">
        <f t="shared" ref="K1904:K1906" si="313">HYPERLINK("http://twitter.com","Twitter Web Client")</f>
        <v>Twitter Web Client</v>
      </c>
      <c r="L1904" s="13">
        <v>8377</v>
      </c>
      <c r="M1904" s="13">
        <v>3449</v>
      </c>
      <c r="N1904" s="13">
        <v>116</v>
      </c>
      <c r="O1904" s="15"/>
      <c r="P1904" s="6">
        <v>40867.543912037036</v>
      </c>
      <c r="Q1904" s="17" t="s">
        <v>6969</v>
      </c>
      <c r="R1904" s="18" t="s">
        <v>6970</v>
      </c>
      <c r="S1904" s="11" t="s">
        <v>6971</v>
      </c>
      <c r="T1904" s="12"/>
      <c r="U1904" s="10" t="str">
        <f>HYPERLINK("https://pbs.twimg.com/profile_images/3107572017/3e2c6eb62026eec865f6c28fd9d818ff.jpeg","View")</f>
        <v>View</v>
      </c>
    </row>
    <row r="1905" spans="1:21" ht="20.399999999999999">
      <c r="A1905" s="6">
        <v>43426.737939814819</v>
      </c>
      <c r="B1905" s="7" t="str">
        <f t="shared" ref="B1905:B1906" si="314">HYPERLINK("https://twitter.com/AlfonsoRojoPD","@AlfonsoRojoPD")</f>
        <v>@AlfonsoRojoPD</v>
      </c>
      <c r="C1905" s="8" t="s">
        <v>67</v>
      </c>
      <c r="D1905" s="9" t="s">
        <v>6373</v>
      </c>
      <c r="E1905" s="10" t="str">
        <f>HYPERLINK("https://twitter.com/AlfonsoRojoPD/status/1065646748805341185","1065646748805341185")</f>
        <v>1065646748805341185</v>
      </c>
      <c r="F1905" s="11" t="s">
        <v>1331</v>
      </c>
      <c r="G1905" s="12"/>
      <c r="H1905" s="12"/>
      <c r="I1905" s="13">
        <v>475</v>
      </c>
      <c r="J1905" s="13">
        <v>394</v>
      </c>
      <c r="K1905" s="14" t="str">
        <f t="shared" si="313"/>
        <v>Twitter Web Client</v>
      </c>
      <c r="L1905" s="13">
        <v>48930</v>
      </c>
      <c r="M1905" s="13">
        <v>0</v>
      </c>
      <c r="N1905" s="13">
        <v>671</v>
      </c>
      <c r="O1905" s="16" t="s">
        <v>26</v>
      </c>
      <c r="P1905" s="6">
        <v>41704.447048611109</v>
      </c>
      <c r="Q1905" s="17" t="s">
        <v>72</v>
      </c>
      <c r="R1905" s="18" t="s">
        <v>73</v>
      </c>
      <c r="S1905" s="11" t="s">
        <v>74</v>
      </c>
      <c r="T1905" s="12"/>
      <c r="U1905" s="10" t="str">
        <f t="shared" ref="U1905:U1906" si="315">HYPERLINK("https://pbs.twimg.com/profile_images/441511791210663936/QbI_6aXh.jpeg","View")</f>
        <v>View</v>
      </c>
    </row>
    <row r="1906" spans="1:21" ht="20.399999999999999">
      <c r="A1906" s="6">
        <v>43426.737835648149</v>
      </c>
      <c r="B1906" s="7" t="str">
        <f t="shared" si="314"/>
        <v>@AlfonsoRojoPD</v>
      </c>
      <c r="C1906" s="8" t="s">
        <v>67</v>
      </c>
      <c r="D1906" s="9" t="s">
        <v>6297</v>
      </c>
      <c r="E1906" s="10" t="str">
        <f>HYPERLINK("https://twitter.com/AlfonsoRojoPD/status/1065646711652171776","1065646711652171776")</f>
        <v>1065646711652171776</v>
      </c>
      <c r="F1906" s="11" t="s">
        <v>5550</v>
      </c>
      <c r="G1906" s="12"/>
      <c r="H1906" s="12"/>
      <c r="I1906" s="13">
        <v>33</v>
      </c>
      <c r="J1906" s="13">
        <v>45</v>
      </c>
      <c r="K1906" s="14" t="str">
        <f t="shared" si="313"/>
        <v>Twitter Web Client</v>
      </c>
      <c r="L1906" s="13">
        <v>48930</v>
      </c>
      <c r="M1906" s="13">
        <v>0</v>
      </c>
      <c r="N1906" s="13">
        <v>671</v>
      </c>
      <c r="O1906" s="16" t="s">
        <v>26</v>
      </c>
      <c r="P1906" s="6">
        <v>41704.447048611109</v>
      </c>
      <c r="Q1906" s="17" t="s">
        <v>72</v>
      </c>
      <c r="R1906" s="18" t="s">
        <v>73</v>
      </c>
      <c r="S1906" s="11" t="s">
        <v>74</v>
      </c>
      <c r="T1906" s="12"/>
      <c r="U1906" s="10" t="str">
        <f t="shared" si="315"/>
        <v>View</v>
      </c>
    </row>
    <row r="1907" spans="1:21" ht="40.799999999999997">
      <c r="A1907" s="6">
        <v>43426.73715277778</v>
      </c>
      <c r="B1907" s="7" t="str">
        <f>HYPERLINK("https://twitter.com/gcareaga18","@gcareaga18")</f>
        <v>@gcareaga18</v>
      </c>
      <c r="C1907" s="8" t="s">
        <v>1373</v>
      </c>
      <c r="D1907" s="9" t="s">
        <v>6972</v>
      </c>
      <c r="E1907" s="10" t="str">
        <f>HYPERLINK("https://twitter.com/gcareaga18/status/1065646463013793792","1065646463013793792")</f>
        <v>1065646463013793792</v>
      </c>
      <c r="F1907" s="11" t="s">
        <v>6973</v>
      </c>
      <c r="G1907" s="11" t="s">
        <v>6974</v>
      </c>
      <c r="H1907" s="12"/>
      <c r="I1907" s="13">
        <v>0</v>
      </c>
      <c r="J1907" s="13">
        <v>0</v>
      </c>
      <c r="K1907" s="14" t="str">
        <f>HYPERLINK("https://ifttt.com","IFTTT")</f>
        <v>IFTTT</v>
      </c>
      <c r="L1907" s="13">
        <v>47</v>
      </c>
      <c r="M1907" s="13">
        <v>200</v>
      </c>
      <c r="N1907" s="13">
        <v>1</v>
      </c>
      <c r="O1907" s="15"/>
      <c r="P1907" s="6">
        <v>41888.012986111113</v>
      </c>
      <c r="Q1907" s="17" t="s">
        <v>497</v>
      </c>
      <c r="R1907" s="18" t="s">
        <v>1376</v>
      </c>
      <c r="S1907" s="12"/>
      <c r="T1907" s="12"/>
      <c r="U1907" s="10" t="str">
        <f>HYPERLINK("https://pbs.twimg.com/profile_images/984612980334702592/3NYg9Rnm.jpg","View")</f>
        <v>View</v>
      </c>
    </row>
    <row r="1908" spans="1:21" ht="61.2">
      <c r="A1908" s="6">
        <v>43426.736956018518</v>
      </c>
      <c r="B1908" s="7" t="str">
        <f>HYPERLINK("https://twitter.com/JuanInfanteM","@JuanInfanteM")</f>
        <v>@JuanInfanteM</v>
      </c>
      <c r="C1908" s="8" t="s">
        <v>6975</v>
      </c>
      <c r="D1908" s="9" t="s">
        <v>6976</v>
      </c>
      <c r="E1908" s="10" t="str">
        <f>HYPERLINK("https://twitter.com/JuanInfanteM/status/1065646394457944064","1065646394457944064")</f>
        <v>1065646394457944064</v>
      </c>
      <c r="F1908" s="12"/>
      <c r="G1908" s="11" t="s">
        <v>6977</v>
      </c>
      <c r="H1908" s="12"/>
      <c r="I1908" s="13">
        <v>5</v>
      </c>
      <c r="J1908" s="13">
        <v>13</v>
      </c>
      <c r="K1908" s="14" t="str">
        <f>HYPERLINK("http://twitter.com/download/android","Twitter for Android")</f>
        <v>Twitter for Android</v>
      </c>
      <c r="L1908" s="13">
        <v>672</v>
      </c>
      <c r="M1908" s="13">
        <v>1100</v>
      </c>
      <c r="N1908" s="13">
        <v>16</v>
      </c>
      <c r="O1908" s="15"/>
      <c r="P1908" s="6">
        <v>41007.630833333329</v>
      </c>
      <c r="Q1908" s="12"/>
      <c r="R1908" s="18" t="s">
        <v>6982</v>
      </c>
      <c r="S1908" s="11" t="s">
        <v>6984</v>
      </c>
      <c r="T1908" s="12"/>
      <c r="U1908" s="10" t="str">
        <f>HYPERLINK("https://pbs.twimg.com/profile_images/2882084264/3cfa64ff3564bd7f7611457dc631d333.jpeg","View")</f>
        <v>View</v>
      </c>
    </row>
    <row r="1909" spans="1:21" ht="30.6">
      <c r="A1909" s="6">
        <v>43426.73642361111</v>
      </c>
      <c r="B1909" s="7" t="str">
        <f>HYPERLINK("https://twitter.com/Chusina5","@Chusina5")</f>
        <v>@Chusina5</v>
      </c>
      <c r="C1909" s="8" t="s">
        <v>3532</v>
      </c>
      <c r="D1909" s="9" t="s">
        <v>640</v>
      </c>
      <c r="E1909" s="10" t="str">
        <f>HYPERLINK("https://twitter.com/Chusina5/status/1065646201297666050","1065646201297666050")</f>
        <v>1065646201297666050</v>
      </c>
      <c r="F1909" s="11" t="s">
        <v>641</v>
      </c>
      <c r="G1909" s="12"/>
      <c r="H1909" s="12"/>
      <c r="I1909" s="13">
        <v>1</v>
      </c>
      <c r="J1909" s="13">
        <v>0</v>
      </c>
      <c r="K1909" s="14" t="str">
        <f>HYPERLINK("http://twitter.com","Twitter Web Client")</f>
        <v>Twitter Web Client</v>
      </c>
      <c r="L1909" s="13">
        <v>11923</v>
      </c>
      <c r="M1909" s="13">
        <v>11195</v>
      </c>
      <c r="N1909" s="13">
        <v>131</v>
      </c>
      <c r="O1909" s="15"/>
      <c r="P1909" s="6">
        <v>41013.619976851856</v>
      </c>
      <c r="Q1909" s="17" t="s">
        <v>3535</v>
      </c>
      <c r="R1909" s="18" t="s">
        <v>3536</v>
      </c>
      <c r="S1909" s="12"/>
      <c r="T1909" s="12"/>
      <c r="U1909" s="10" t="str">
        <f>HYPERLINK("https://pbs.twimg.com/profile_images/1053545632043057153/9dPzmk-p.jpg","View")</f>
        <v>View</v>
      </c>
    </row>
    <row r="1910" spans="1:21" ht="30.6">
      <c r="A1910" s="6">
        <v>43426.736400462964</v>
      </c>
      <c r="B1910" s="7" t="str">
        <f>HYPERLINK("https://twitter.com/Baniela82","@Baniela82")</f>
        <v>@Baniela82</v>
      </c>
      <c r="C1910" s="8" t="s">
        <v>6990</v>
      </c>
      <c r="D1910" s="9" t="s">
        <v>6991</v>
      </c>
      <c r="E1910" s="10" t="str">
        <f>HYPERLINK("https://twitter.com/Baniela82/status/1065646190199562240","1065646190199562240")</f>
        <v>1065646190199562240</v>
      </c>
      <c r="F1910" s="12"/>
      <c r="G1910" s="12"/>
      <c r="H1910" s="12"/>
      <c r="I1910" s="13">
        <v>1</v>
      </c>
      <c r="J1910" s="13">
        <v>4</v>
      </c>
      <c r="K1910" s="14" t="str">
        <f>HYPERLINK("http://twitter.com/download/android","Twitter for Android")</f>
        <v>Twitter for Android</v>
      </c>
      <c r="L1910" s="13">
        <v>664</v>
      </c>
      <c r="M1910" s="13">
        <v>315</v>
      </c>
      <c r="N1910" s="13">
        <v>10</v>
      </c>
      <c r="O1910" s="15"/>
      <c r="P1910" s="6">
        <v>42602.392951388887</v>
      </c>
      <c r="Q1910" s="17" t="s">
        <v>6992</v>
      </c>
      <c r="R1910" s="18" t="s">
        <v>6993</v>
      </c>
      <c r="S1910" s="11" t="s">
        <v>6994</v>
      </c>
      <c r="T1910" s="12"/>
      <c r="U1910" s="10" t="str">
        <f>HYPERLINK("https://pbs.twimg.com/profile_images/908386318820003840/xo2hL4sr.jpg","View")</f>
        <v>View</v>
      </c>
    </row>
    <row r="1911" spans="1:21" ht="40.799999999999997">
      <c r="A1911" s="6">
        <v>43426.736145833333</v>
      </c>
      <c r="B1911" s="7" t="str">
        <f>HYPERLINK("https://twitter.com/yoanisanchez","@yoanisanchez")</f>
        <v>@yoanisanchez</v>
      </c>
      <c r="C1911" s="8" t="s">
        <v>170</v>
      </c>
      <c r="D1911" s="9" t="s">
        <v>6995</v>
      </c>
      <c r="E1911" s="10" t="str">
        <f>HYPERLINK("https://twitter.com/yoanisanchez/status/1065646097635385345","1065646097635385345")</f>
        <v>1065646097635385345</v>
      </c>
      <c r="F1911" s="11" t="s">
        <v>6973</v>
      </c>
      <c r="G1911" s="11" t="s">
        <v>6974</v>
      </c>
      <c r="H1911" s="12"/>
      <c r="I1911" s="13">
        <v>15</v>
      </c>
      <c r="J1911" s="13">
        <v>18</v>
      </c>
      <c r="K1911" s="14" t="str">
        <f>HYPERLINK("http://twitter.com","Twitter Web Client")</f>
        <v>Twitter Web Client</v>
      </c>
      <c r="L1911" s="13">
        <v>756016</v>
      </c>
      <c r="M1911" s="13">
        <v>83952</v>
      </c>
      <c r="N1911" s="13">
        <v>9394</v>
      </c>
      <c r="O1911" s="16" t="s">
        <v>26</v>
      </c>
      <c r="P1911" s="6">
        <v>39685.015219907407</v>
      </c>
      <c r="Q1911" s="17" t="s">
        <v>40</v>
      </c>
      <c r="R1911" s="18" t="s">
        <v>173</v>
      </c>
      <c r="S1911" s="11" t="s">
        <v>174</v>
      </c>
      <c r="T1911" s="12"/>
      <c r="U1911" s="10" t="str">
        <f>HYPERLINK("https://pbs.twimg.com/profile_images/932259310108753920/LQ1YpmBM.jpg","View")</f>
        <v>View</v>
      </c>
    </row>
    <row r="1912" spans="1:21" ht="51">
      <c r="A1912" s="6">
        <v>43426.735914351855</v>
      </c>
      <c r="B1912" s="7" t="str">
        <f>HYPERLINK("https://twitter.com/PPopularAviles","@PPopularAviles")</f>
        <v>@PPopularAviles</v>
      </c>
      <c r="C1912" s="8" t="s">
        <v>6996</v>
      </c>
      <c r="D1912" s="9" t="s">
        <v>6997</v>
      </c>
      <c r="E1912" s="10" t="str">
        <f>HYPERLINK("https://twitter.com/PPopularAviles/status/1065646016341467137","1065646016341467137")</f>
        <v>1065646016341467137</v>
      </c>
      <c r="F1912" s="11" t="s">
        <v>6998</v>
      </c>
      <c r="G1912" s="11" t="s">
        <v>6999</v>
      </c>
      <c r="H1912" s="12"/>
      <c r="I1912" s="13">
        <v>4</v>
      </c>
      <c r="J1912" s="13">
        <v>5</v>
      </c>
      <c r="K1912" s="14" t="str">
        <f>HYPERLINK("http://twitter.com/#!/download/ipad","Twitter for iPad")</f>
        <v>Twitter for iPad</v>
      </c>
      <c r="L1912" s="13">
        <v>485</v>
      </c>
      <c r="M1912" s="13">
        <v>292</v>
      </c>
      <c r="N1912" s="13">
        <v>5</v>
      </c>
      <c r="O1912" s="15"/>
      <c r="P1912" s="6">
        <v>42888.630625000005</v>
      </c>
      <c r="Q1912" s="17" t="s">
        <v>7000</v>
      </c>
      <c r="R1912" s="18" t="s">
        <v>7001</v>
      </c>
      <c r="S1912" s="11" t="s">
        <v>7002</v>
      </c>
      <c r="T1912" s="12"/>
      <c r="U1912" s="10" t="str">
        <f>HYPERLINK("https://pbs.twimg.com/profile_images/968065390130749440/dmYkPaIT.jpg","View")</f>
        <v>View</v>
      </c>
    </row>
    <row r="1913" spans="1:21" ht="40.799999999999997">
      <c r="A1913" s="6">
        <v>43426.735266203701</v>
      </c>
      <c r="B1913" s="7" t="str">
        <f>HYPERLINK("https://twitter.com/rscabanillas","@rscabanillas")</f>
        <v>@rscabanillas</v>
      </c>
      <c r="C1913" s="8" t="s">
        <v>1894</v>
      </c>
      <c r="D1913" s="9" t="s">
        <v>7003</v>
      </c>
      <c r="E1913" s="10" t="str">
        <f>HYPERLINK("https://twitter.com/rscabanillas/status/1065645782597025792","1065645782597025792")</f>
        <v>1065645782597025792</v>
      </c>
      <c r="F1913" s="12"/>
      <c r="G1913" s="12"/>
      <c r="H1913" s="12"/>
      <c r="I1913" s="13">
        <v>0</v>
      </c>
      <c r="J1913" s="13">
        <v>0</v>
      </c>
      <c r="K1913" s="14" t="str">
        <f>HYPERLINK("http://twitter.com","Twitter Web Client")</f>
        <v>Twitter Web Client</v>
      </c>
      <c r="L1913" s="13">
        <v>235</v>
      </c>
      <c r="M1913" s="13">
        <v>648</v>
      </c>
      <c r="N1913" s="13">
        <v>8</v>
      </c>
      <c r="O1913" s="15"/>
      <c r="P1913" s="6">
        <v>40281.903067129628</v>
      </c>
      <c r="Q1913" s="17" t="s">
        <v>1278</v>
      </c>
      <c r="R1913" s="18" t="s">
        <v>1896</v>
      </c>
      <c r="S1913" s="12"/>
      <c r="T1913" s="12"/>
      <c r="U1913" s="10" t="str">
        <f>HYPERLINK("https://pbs.twimg.com/profile_images/2466541336/b20z9vh4c994siwzfxv8.jpeg","View")</f>
        <v>View</v>
      </c>
    </row>
    <row r="1914" spans="1:21" ht="20.399999999999999">
      <c r="A1914" s="6">
        <v>43426.734756944439</v>
      </c>
      <c r="B1914" s="7" t="str">
        <f>HYPERLINK("https://twitter.com/Moncloa","@Moncloa")</f>
        <v>@Moncloa</v>
      </c>
      <c r="C1914" s="8" t="s">
        <v>1487</v>
      </c>
      <c r="D1914" s="9" t="s">
        <v>7007</v>
      </c>
      <c r="E1914" s="10" t="str">
        <f>HYPERLINK("https://twitter.com/Moncloa/status/1065645594000056320","1065645594000056320")</f>
        <v>1065645594000056320</v>
      </c>
      <c r="F1914" s="11" t="s">
        <v>7008</v>
      </c>
      <c r="G1914" s="12"/>
      <c r="H1914" s="12"/>
      <c r="I1914" s="13">
        <v>0</v>
      </c>
      <c r="J1914" s="13">
        <v>0</v>
      </c>
      <c r="K1914" s="14" t="str">
        <f>HYPERLINK("http://www.gkopu.com/books","MicroContent")</f>
        <v>MicroContent</v>
      </c>
      <c r="L1914" s="13">
        <v>9324</v>
      </c>
      <c r="M1914" s="13">
        <v>1</v>
      </c>
      <c r="N1914" s="13">
        <v>42</v>
      </c>
      <c r="O1914" s="15"/>
      <c r="P1914" s="6">
        <v>40723.496319444443</v>
      </c>
      <c r="Q1914" s="17" t="s">
        <v>28</v>
      </c>
      <c r="R1914" s="18" t="s">
        <v>1490</v>
      </c>
      <c r="S1914" s="12"/>
      <c r="T1914" s="12"/>
      <c r="U1914" s="10" t="str">
        <f>HYPERLINK("https://pbs.twimg.com/profile_images/2272310074/v0xjmozqhpv90d675qs9.jpeg","View")</f>
        <v>View</v>
      </c>
    </row>
    <row r="1915" spans="1:21" ht="40.799999999999997">
      <c r="A1915" s="6">
        <v>43426.734305555554</v>
      </c>
      <c r="B1915" s="7" t="str">
        <f>HYPERLINK("https://twitter.com/duendecolegiata","@duendecolegiata")</f>
        <v>@duendecolegiata</v>
      </c>
      <c r="C1915" s="8" t="s">
        <v>7009</v>
      </c>
      <c r="D1915" s="9" t="s">
        <v>7010</v>
      </c>
      <c r="E1915" s="10" t="str">
        <f>HYPERLINK("https://twitter.com/duendecolegiata/status/1065645432813076481","1065645432813076481")</f>
        <v>1065645432813076481</v>
      </c>
      <c r="F1915" s="11" t="s">
        <v>7011</v>
      </c>
      <c r="G1915" s="12"/>
      <c r="H1915" s="12"/>
      <c r="I1915" s="13">
        <v>2</v>
      </c>
      <c r="J1915" s="13">
        <v>1</v>
      </c>
      <c r="K1915" s="14" t="str">
        <f>HYPERLINK("http://twitter.com/download/android","Twitter for Android")</f>
        <v>Twitter for Android</v>
      </c>
      <c r="L1915" s="13">
        <v>1850</v>
      </c>
      <c r="M1915" s="13">
        <v>1406</v>
      </c>
      <c r="N1915" s="13">
        <v>23</v>
      </c>
      <c r="O1915" s="15"/>
      <c r="P1915" s="6">
        <v>40618.793344907404</v>
      </c>
      <c r="Q1915" s="12"/>
      <c r="R1915" s="18" t="s">
        <v>7012</v>
      </c>
      <c r="S1915" s="12"/>
      <c r="T1915" s="12"/>
      <c r="U1915" s="10" t="str">
        <f>HYPERLINK("https://pbs.twimg.com/profile_images/3197720968/b8c8ea4e99cbc6795f04b918c7baf990.jpeg","View")</f>
        <v>View</v>
      </c>
    </row>
    <row r="1916" spans="1:21" ht="20.399999999999999">
      <c r="A1916" s="6">
        <v>43426.734050925923</v>
      </c>
      <c r="B1916" s="7" t="str">
        <f>HYPERLINK("https://twitter.com/Moncloa","@Moncloa")</f>
        <v>@Moncloa</v>
      </c>
      <c r="C1916" s="8" t="s">
        <v>1487</v>
      </c>
      <c r="D1916" s="9" t="s">
        <v>7013</v>
      </c>
      <c r="E1916" s="10" t="str">
        <f>HYPERLINK("https://twitter.com/Moncloa/status/1065645341758746624","1065645341758746624")</f>
        <v>1065645341758746624</v>
      </c>
      <c r="F1916" s="11" t="s">
        <v>7014</v>
      </c>
      <c r="G1916" s="12"/>
      <c r="H1916" s="12"/>
      <c r="I1916" s="13">
        <v>0</v>
      </c>
      <c r="J1916" s="13">
        <v>0</v>
      </c>
      <c r="K1916" s="14" t="str">
        <f>HYPERLINK("http://www.gkopu.com/books","MicroContent")</f>
        <v>MicroContent</v>
      </c>
      <c r="L1916" s="13">
        <v>9324</v>
      </c>
      <c r="M1916" s="13">
        <v>1</v>
      </c>
      <c r="N1916" s="13">
        <v>42</v>
      </c>
      <c r="O1916" s="15"/>
      <c r="P1916" s="6">
        <v>40723.496319444443</v>
      </c>
      <c r="Q1916" s="17" t="s">
        <v>28</v>
      </c>
      <c r="R1916" s="18" t="s">
        <v>1490</v>
      </c>
      <c r="S1916" s="12"/>
      <c r="T1916" s="12"/>
      <c r="U1916" s="10" t="str">
        <f>HYPERLINK("https://pbs.twimg.com/profile_images/2272310074/v0xjmozqhpv90d675qs9.jpeg","View")</f>
        <v>View</v>
      </c>
    </row>
    <row r="1917" spans="1:21" ht="30.6">
      <c r="A1917" s="6">
        <v>43426.733981481477</v>
      </c>
      <c r="B1917" s="7" t="str">
        <f>HYPERLINK("https://twitter.com/mcyava","@mcyava")</f>
        <v>@mcyava</v>
      </c>
      <c r="C1917" s="8" t="s">
        <v>3987</v>
      </c>
      <c r="D1917" s="9" t="s">
        <v>6735</v>
      </c>
      <c r="E1917" s="10" t="str">
        <f>HYPERLINK("https://twitter.com/mcyava/status/1065645313539665920","1065645313539665920")</f>
        <v>1065645313539665920</v>
      </c>
      <c r="F1917" s="11" t="s">
        <v>6709</v>
      </c>
      <c r="G1917" s="12"/>
      <c r="H1917" s="12"/>
      <c r="I1917" s="13">
        <v>18</v>
      </c>
      <c r="J1917" s="13">
        <v>7</v>
      </c>
      <c r="K1917" s="14" t="str">
        <f>HYPERLINK("http://twitter.com/download/android","Twitter for Android")</f>
        <v>Twitter for Android</v>
      </c>
      <c r="L1917" s="13">
        <v>16383</v>
      </c>
      <c r="M1917" s="13">
        <v>12698</v>
      </c>
      <c r="N1917" s="13">
        <v>88</v>
      </c>
      <c r="O1917" s="15"/>
      <c r="P1917" s="6">
        <v>40819.440150462964</v>
      </c>
      <c r="Q1917" s="17" t="s">
        <v>28</v>
      </c>
      <c r="R1917" s="18" t="s">
        <v>3993</v>
      </c>
      <c r="S1917" s="12"/>
      <c r="T1917" s="12"/>
      <c r="U1917" s="10" t="str">
        <f>HYPERLINK("https://pbs.twimg.com/profile_images/957202578210738176/msS95mss.jpg","View")</f>
        <v>View</v>
      </c>
    </row>
    <row r="1918" spans="1:21" ht="20.399999999999999">
      <c r="A1918" s="6">
        <v>43426.73369212963</v>
      </c>
      <c r="B1918" s="7" t="str">
        <f>HYPERLINK("https://twitter.com/MEPosadaG","@MEPosadaG")</f>
        <v>@MEPosadaG</v>
      </c>
      <c r="C1918" s="8" t="s">
        <v>7015</v>
      </c>
      <c r="D1918" s="9" t="s">
        <v>2837</v>
      </c>
      <c r="E1918" s="10" t="str">
        <f>HYPERLINK("https://twitter.com/MEPosadaG/status/1065645211928416257","1065645211928416257")</f>
        <v>1065645211928416257</v>
      </c>
      <c r="F1918" s="11" t="s">
        <v>2838</v>
      </c>
      <c r="G1918" s="12"/>
      <c r="H1918" s="12"/>
      <c r="I1918" s="13">
        <v>0</v>
      </c>
      <c r="J1918" s="13">
        <v>1</v>
      </c>
      <c r="K1918" s="14" t="str">
        <f>HYPERLINK("https://www.google.com/","Google")</f>
        <v>Google</v>
      </c>
      <c r="L1918" s="13">
        <v>234</v>
      </c>
      <c r="M1918" s="13">
        <v>341</v>
      </c>
      <c r="N1918" s="13">
        <v>6</v>
      </c>
      <c r="O1918" s="15"/>
      <c r="P1918" s="6">
        <v>40802.865428240737</v>
      </c>
      <c r="Q1918" s="17" t="s">
        <v>7016</v>
      </c>
      <c r="R1918" s="18" t="s">
        <v>7017</v>
      </c>
      <c r="S1918" s="12"/>
      <c r="T1918" s="12"/>
      <c r="U1918" s="10" t="str">
        <f>HYPERLINK("https://pbs.twimg.com/profile_images/930546923911761922/0kLH5O7u.jpg","View")</f>
        <v>View</v>
      </c>
    </row>
    <row r="1919" spans="1:21" ht="30.6">
      <c r="A1919" s="6">
        <v>43426.733564814815</v>
      </c>
      <c r="B1919" s="7" t="str">
        <f>HYPERLINK("https://twitter.com/carollm333","@carollm333")</f>
        <v>@carollm333</v>
      </c>
      <c r="C1919" s="8" t="s">
        <v>7018</v>
      </c>
      <c r="D1919" s="9" t="s">
        <v>7019</v>
      </c>
      <c r="E1919" s="10" t="str">
        <f>HYPERLINK("https://twitter.com/carollm333/status/1065645163849109504","1065645163849109504")</f>
        <v>1065645163849109504</v>
      </c>
      <c r="F1919" s="11" t="s">
        <v>7020</v>
      </c>
      <c r="G1919" s="12"/>
      <c r="H1919" s="12"/>
      <c r="I1919" s="13">
        <v>0</v>
      </c>
      <c r="J1919" s="13">
        <v>0</v>
      </c>
      <c r="K1919" s="14" t="str">
        <f>HYPERLINK("http://twitter.com","Twitter Web Client")</f>
        <v>Twitter Web Client</v>
      </c>
      <c r="L1919" s="13">
        <v>1214</v>
      </c>
      <c r="M1919" s="13">
        <v>1038</v>
      </c>
      <c r="N1919" s="13">
        <v>79</v>
      </c>
      <c r="O1919" s="15"/>
      <c r="P1919" s="6">
        <v>40577.811874999999</v>
      </c>
      <c r="Q1919" s="12"/>
      <c r="R1919" s="19"/>
      <c r="S1919" s="12"/>
      <c r="T1919" s="12"/>
      <c r="U1919" s="10" t="str">
        <f>HYPERLINK("https://pbs.twimg.com/profile_images/1002860850015817729/9pVXZX1m.jpg","View")</f>
        <v>View</v>
      </c>
    </row>
    <row r="1920" spans="1:21" ht="20.399999999999999">
      <c r="A1920" s="6">
        <v>43426.733356481476</v>
      </c>
      <c r="B1920" s="7" t="str">
        <f t="shared" ref="B1920:B1921" si="316">HYPERLINK("https://twitter.com/Moncloa","@Moncloa")</f>
        <v>@Moncloa</v>
      </c>
      <c r="C1920" s="8" t="s">
        <v>1487</v>
      </c>
      <c r="D1920" s="9" t="s">
        <v>7021</v>
      </c>
      <c r="E1920" s="10" t="str">
        <f>HYPERLINK("https://twitter.com/Moncloa/status/1065645089513332736","1065645089513332736")</f>
        <v>1065645089513332736</v>
      </c>
      <c r="F1920" s="11" t="s">
        <v>7022</v>
      </c>
      <c r="G1920" s="12"/>
      <c r="H1920" s="12"/>
      <c r="I1920" s="13">
        <v>0</v>
      </c>
      <c r="J1920" s="13">
        <v>0</v>
      </c>
      <c r="K1920" s="14" t="str">
        <f t="shared" ref="K1920:K1921" si="317">HYPERLINK("http://www.gkopu.com/books","MicroContent")</f>
        <v>MicroContent</v>
      </c>
      <c r="L1920" s="13">
        <v>9324</v>
      </c>
      <c r="M1920" s="13">
        <v>1</v>
      </c>
      <c r="N1920" s="13">
        <v>42</v>
      </c>
      <c r="O1920" s="15"/>
      <c r="P1920" s="6">
        <v>40723.496319444443</v>
      </c>
      <c r="Q1920" s="17" t="s">
        <v>28</v>
      </c>
      <c r="R1920" s="18" t="s">
        <v>1490</v>
      </c>
      <c r="S1920" s="12"/>
      <c r="T1920" s="12"/>
      <c r="U1920" s="10" t="str">
        <f t="shared" ref="U1920:U1921" si="318">HYPERLINK("https://pbs.twimg.com/profile_images/2272310074/v0xjmozqhpv90d675qs9.jpeg","View")</f>
        <v>View</v>
      </c>
    </row>
    <row r="1921" spans="1:21" ht="20.399999999999999">
      <c r="A1921" s="6">
        <v>43426.732662037037</v>
      </c>
      <c r="B1921" s="7" t="str">
        <f t="shared" si="316"/>
        <v>@Moncloa</v>
      </c>
      <c r="C1921" s="8" t="s">
        <v>1487</v>
      </c>
      <c r="D1921" s="9" t="s">
        <v>7023</v>
      </c>
      <c r="E1921" s="10" t="str">
        <f>HYPERLINK("https://twitter.com/Moncloa/status/1065644836680650752","1065644836680650752")</f>
        <v>1065644836680650752</v>
      </c>
      <c r="F1921" s="11" t="s">
        <v>7024</v>
      </c>
      <c r="G1921" s="12"/>
      <c r="H1921" s="12"/>
      <c r="I1921" s="13">
        <v>0</v>
      </c>
      <c r="J1921" s="13">
        <v>0</v>
      </c>
      <c r="K1921" s="14" t="str">
        <f t="shared" si="317"/>
        <v>MicroContent</v>
      </c>
      <c r="L1921" s="13">
        <v>9324</v>
      </c>
      <c r="M1921" s="13">
        <v>1</v>
      </c>
      <c r="N1921" s="13">
        <v>42</v>
      </c>
      <c r="O1921" s="15"/>
      <c r="P1921" s="6">
        <v>40723.496319444443</v>
      </c>
      <c r="Q1921" s="17" t="s">
        <v>28</v>
      </c>
      <c r="R1921" s="18" t="s">
        <v>1490</v>
      </c>
      <c r="S1921" s="12"/>
      <c r="T1921" s="12"/>
      <c r="U1921" s="10" t="str">
        <f t="shared" si="318"/>
        <v>View</v>
      </c>
    </row>
    <row r="1922" spans="1:21" ht="30.6">
      <c r="A1922" s="6">
        <v>43426.732546296298</v>
      </c>
      <c r="B1922" s="7" t="str">
        <f>HYPERLINK("https://twitter.com/elperroverde60","@elperroverde60")</f>
        <v>@elperroverde60</v>
      </c>
      <c r="C1922" s="8" t="s">
        <v>2714</v>
      </c>
      <c r="D1922" s="9" t="s">
        <v>7025</v>
      </c>
      <c r="E1922" s="10" t="str">
        <f>HYPERLINK("https://twitter.com/elperroverde60/status/1065644796465819648","1065644796465819648")</f>
        <v>1065644796465819648</v>
      </c>
      <c r="F1922" s="11" t="s">
        <v>641</v>
      </c>
      <c r="G1922" s="12"/>
      <c r="H1922" s="12"/>
      <c r="I1922" s="13">
        <v>0</v>
      </c>
      <c r="J1922" s="13">
        <v>0</v>
      </c>
      <c r="K1922" s="14" t="str">
        <f>HYPERLINK("http://twitter.com/download/android","Twitter for Android")</f>
        <v>Twitter for Android</v>
      </c>
      <c r="L1922" s="13">
        <v>487</v>
      </c>
      <c r="M1922" s="13">
        <v>1070</v>
      </c>
      <c r="N1922" s="13">
        <v>15</v>
      </c>
      <c r="O1922" s="15"/>
      <c r="P1922" s="6">
        <v>42089.883263888885</v>
      </c>
      <c r="Q1922" s="17" t="s">
        <v>2716</v>
      </c>
      <c r="R1922" s="18" t="s">
        <v>2717</v>
      </c>
      <c r="S1922" s="11" t="s">
        <v>2718</v>
      </c>
      <c r="T1922" s="12"/>
      <c r="U1922" s="10" t="str">
        <f>HYPERLINK("https://pbs.twimg.com/profile_images/910885355607511041/DPA_yUF4.jpg","View")</f>
        <v>View</v>
      </c>
    </row>
    <row r="1923" spans="1:21" ht="40.799999999999997">
      <c r="A1923" s="6">
        <v>43426.732094907406</v>
      </c>
      <c r="B1923" s="7" t="str">
        <f>HYPERLINK("https://twitter.com/eslatarde","@eslatarde")</f>
        <v>@eslatarde</v>
      </c>
      <c r="C1923" s="8" t="s">
        <v>7026</v>
      </c>
      <c r="D1923" s="9" t="s">
        <v>7027</v>
      </c>
      <c r="E1923" s="10" t="str">
        <f>HYPERLINK("https://twitter.com/eslatarde/status/1065644633190014978","1065644633190014978")</f>
        <v>1065644633190014978</v>
      </c>
      <c r="F1923" s="12"/>
      <c r="G1923" s="12"/>
      <c r="H1923" s="12"/>
      <c r="I1923" s="13">
        <v>5</v>
      </c>
      <c r="J1923" s="13">
        <v>9</v>
      </c>
      <c r="K1923" s="14" t="str">
        <f>HYPERLINK("http://twitter.com","Twitter Web Client")</f>
        <v>Twitter Web Client</v>
      </c>
      <c r="L1923" s="13">
        <v>21219</v>
      </c>
      <c r="M1923" s="13">
        <v>1195</v>
      </c>
      <c r="N1923" s="13">
        <v>179</v>
      </c>
      <c r="O1923" s="16" t="s">
        <v>26</v>
      </c>
      <c r="P1923" s="6">
        <v>41487.700925925928</v>
      </c>
      <c r="Q1923" s="12"/>
      <c r="R1923" s="18" t="s">
        <v>7028</v>
      </c>
      <c r="S1923" s="11" t="s">
        <v>7029</v>
      </c>
      <c r="T1923" s="12"/>
      <c r="U1923" s="10" t="str">
        <f>HYPERLINK("https://pbs.twimg.com/profile_images/430657794740457472/J8u4e-W3.jpeg","View")</f>
        <v>View</v>
      </c>
    </row>
    <row r="1924" spans="1:21" ht="20.399999999999999">
      <c r="A1924" s="6">
        <v>43426.732025462959</v>
      </c>
      <c r="B1924" s="7" t="str">
        <f>HYPERLINK("https://twitter.com/BorinotNegre","@BorinotNegre")</f>
        <v>@BorinotNegre</v>
      </c>
      <c r="C1924" s="8" t="s">
        <v>7034</v>
      </c>
      <c r="D1924" s="9" t="s">
        <v>5475</v>
      </c>
      <c r="E1924" s="10" t="str">
        <f>HYPERLINK("https://twitter.com/BorinotNegre/status/1065644604681318400","1065644604681318400")</f>
        <v>1065644604681318400</v>
      </c>
      <c r="F1924" s="11" t="s">
        <v>7037</v>
      </c>
      <c r="G1924" s="12"/>
      <c r="H1924" s="12"/>
      <c r="I1924" s="13">
        <v>0</v>
      </c>
      <c r="J1924" s="13">
        <v>0</v>
      </c>
      <c r="K1924" s="14" t="str">
        <f>HYPERLINK("http://twitter.com/download/iphone","Twitter for iPhone")</f>
        <v>Twitter for iPhone</v>
      </c>
      <c r="L1924" s="13">
        <v>176</v>
      </c>
      <c r="M1924" s="13">
        <v>485</v>
      </c>
      <c r="N1924" s="13">
        <v>2</v>
      </c>
      <c r="O1924" s="15"/>
      <c r="P1924" s="6">
        <v>40888.902025462965</v>
      </c>
      <c r="Q1924" s="17" t="s">
        <v>2332</v>
      </c>
      <c r="R1924" s="19"/>
      <c r="S1924" s="12"/>
      <c r="T1924" s="12"/>
      <c r="U1924" s="10" t="str">
        <f>HYPERLINK("https://pbs.twimg.com/profile_images/862363118009294849/6-xbImQx.jpg","View")</f>
        <v>View</v>
      </c>
    </row>
    <row r="1925" spans="1:21" ht="20.399999999999999">
      <c r="A1925" s="6">
        <v>43426.73137731482</v>
      </c>
      <c r="B1925" s="7" t="str">
        <f>HYPERLINK("https://twitter.com/Espanasoberana","@Espanasoberana")</f>
        <v>@Espanasoberana</v>
      </c>
      <c r="C1925" s="8" t="s">
        <v>7039</v>
      </c>
      <c r="D1925" s="9" t="s">
        <v>1143</v>
      </c>
      <c r="E1925" s="10" t="str">
        <f>HYPERLINK("https://twitter.com/Espanasoberana/status/1065644369477292038","1065644369477292038")</f>
        <v>1065644369477292038</v>
      </c>
      <c r="F1925" s="11" t="s">
        <v>7040</v>
      </c>
      <c r="G1925" s="12"/>
      <c r="H1925" s="12"/>
      <c r="I1925" s="13">
        <v>0</v>
      </c>
      <c r="J1925" s="13">
        <v>0</v>
      </c>
      <c r="K1925" s="14" t="str">
        <f t="shared" ref="K1925:K1927" si="319">HYPERLINK("http://twitter.com","Twitter Web Client")</f>
        <v>Twitter Web Client</v>
      </c>
      <c r="L1925" s="13">
        <v>464</v>
      </c>
      <c r="M1925" s="13">
        <v>458</v>
      </c>
      <c r="N1925" s="13">
        <v>2</v>
      </c>
      <c r="O1925" s="15"/>
      <c r="P1925" s="6">
        <v>43344.353078703702</v>
      </c>
      <c r="Q1925" s="17" t="s">
        <v>392</v>
      </c>
      <c r="R1925" s="18" t="s">
        <v>7041</v>
      </c>
      <c r="S1925" s="12"/>
      <c r="T1925" s="12"/>
      <c r="U1925" s="10" t="str">
        <f>HYPERLINK("https://pbs.twimg.com/profile_images/1036061901833347077/JbWGQ-Ri.jpg","View")</f>
        <v>View</v>
      </c>
    </row>
    <row r="1926" spans="1:21" ht="40.799999999999997">
      <c r="A1926" s="6">
        <v>43426.730717592596</v>
      </c>
      <c r="B1926" s="7" t="str">
        <f>HYPERLINK("https://twitter.com/inmoaverycom","@inmoaverycom")</f>
        <v>@inmoaverycom</v>
      </c>
      <c r="C1926" s="20" t="s">
        <v>7042</v>
      </c>
      <c r="D1926" s="9" t="s">
        <v>7043</v>
      </c>
      <c r="E1926" s="10" t="str">
        <f>HYPERLINK("https://twitter.com/inmoaverycom/status/1065644133979734016","1065644133979734016")</f>
        <v>1065644133979734016</v>
      </c>
      <c r="F1926" s="11" t="s">
        <v>7044</v>
      </c>
      <c r="G1926" s="12"/>
      <c r="H1926" s="12"/>
      <c r="I1926" s="13">
        <v>0</v>
      </c>
      <c r="J1926" s="13">
        <v>0</v>
      </c>
      <c r="K1926" s="14" t="str">
        <f t="shared" si="319"/>
        <v>Twitter Web Client</v>
      </c>
      <c r="L1926" s="13">
        <v>771</v>
      </c>
      <c r="M1926" s="13">
        <v>1966</v>
      </c>
      <c r="N1926" s="13">
        <v>12</v>
      </c>
      <c r="O1926" s="15"/>
      <c r="P1926" s="6">
        <v>40871.533506944441</v>
      </c>
      <c r="Q1926" s="17" t="s">
        <v>7045</v>
      </c>
      <c r="R1926" s="18" t="s">
        <v>7046</v>
      </c>
      <c r="S1926" s="11" t="s">
        <v>7047</v>
      </c>
      <c r="T1926" s="12"/>
      <c r="U1926" s="10" t="str">
        <f>HYPERLINK("https://pbs.twimg.com/profile_images/537680086862798848/f8XEPU_F.jpeg","View")</f>
        <v>View</v>
      </c>
    </row>
    <row r="1927" spans="1:21" ht="20.399999999999999">
      <c r="A1927" s="6">
        <v>43426.730416666665</v>
      </c>
      <c r="B1927" s="7" t="str">
        <f>HYPERLINK("https://twitter.com/eslatarde","@eslatarde")</f>
        <v>@eslatarde</v>
      </c>
      <c r="C1927" s="8" t="s">
        <v>7026</v>
      </c>
      <c r="D1927" s="9" t="s">
        <v>7048</v>
      </c>
      <c r="E1927" s="10" t="str">
        <f>HYPERLINK("https://twitter.com/eslatarde/status/1065644025171111937","1065644025171111937")</f>
        <v>1065644025171111937</v>
      </c>
      <c r="F1927" s="12"/>
      <c r="G1927" s="12"/>
      <c r="H1927" s="12"/>
      <c r="I1927" s="13">
        <v>5</v>
      </c>
      <c r="J1927" s="13">
        <v>11</v>
      </c>
      <c r="K1927" s="14" t="str">
        <f t="shared" si="319"/>
        <v>Twitter Web Client</v>
      </c>
      <c r="L1927" s="13">
        <v>21219</v>
      </c>
      <c r="M1927" s="13">
        <v>1195</v>
      </c>
      <c r="N1927" s="13">
        <v>179</v>
      </c>
      <c r="O1927" s="16" t="s">
        <v>26</v>
      </c>
      <c r="P1927" s="6">
        <v>41487.700925925928</v>
      </c>
      <c r="Q1927" s="12"/>
      <c r="R1927" s="18" t="s">
        <v>7028</v>
      </c>
      <c r="S1927" s="11" t="s">
        <v>7029</v>
      </c>
      <c r="T1927" s="12"/>
      <c r="U1927" s="10" t="str">
        <f>HYPERLINK("https://pbs.twimg.com/profile_images/430657794740457472/J8u4e-W3.jpeg","View")</f>
        <v>View</v>
      </c>
    </row>
    <row r="1928" spans="1:21" ht="20.399999999999999">
      <c r="A1928" s="6">
        <v>43426.729837962965</v>
      </c>
      <c r="B1928" s="7" t="str">
        <f>HYPERLINK("https://twitter.com/cerocuatro042","@cerocuatro042")</f>
        <v>@cerocuatro042</v>
      </c>
      <c r="C1928" s="8" t="s">
        <v>7049</v>
      </c>
      <c r="D1928" s="9" t="s">
        <v>7050</v>
      </c>
      <c r="E1928" s="10" t="str">
        <f>HYPERLINK("https://twitter.com/cerocuatro042/status/1065643814902292480","1065643814902292480")</f>
        <v>1065643814902292480</v>
      </c>
      <c r="F1928" s="11" t="s">
        <v>7051</v>
      </c>
      <c r="G1928" s="12"/>
      <c r="H1928" s="12"/>
      <c r="I1928" s="13">
        <v>0</v>
      </c>
      <c r="J1928" s="13">
        <v>0</v>
      </c>
      <c r="K1928" s="14" t="str">
        <f>HYPERLINK("http://twitter.com/download/android","Twitter for Android")</f>
        <v>Twitter for Android</v>
      </c>
      <c r="L1928" s="13">
        <v>52</v>
      </c>
      <c r="M1928" s="13">
        <v>276</v>
      </c>
      <c r="N1928" s="13">
        <v>0</v>
      </c>
      <c r="O1928" s="15"/>
      <c r="P1928" s="6">
        <v>43352.578321759254</v>
      </c>
      <c r="Q1928" s="12"/>
      <c r="R1928" s="18" t="s">
        <v>7052</v>
      </c>
      <c r="S1928" s="11" t="s">
        <v>7053</v>
      </c>
      <c r="T1928" s="12"/>
      <c r="U1928" s="10" t="str">
        <f>HYPERLINK("https://pbs.twimg.com/profile_images/1039782542122131458/NhqUmSdm.jpg","View")</f>
        <v>View</v>
      </c>
    </row>
    <row r="1929" spans="1:21" ht="20.399999999999999">
      <c r="A1929" s="6">
        <v>43426.72965277778</v>
      </c>
      <c r="B1929" s="7" t="str">
        <f>HYPERLINK("https://twitter.com/Espanasoberana","@Espanasoberana")</f>
        <v>@Espanasoberana</v>
      </c>
      <c r="C1929" s="8" t="s">
        <v>7039</v>
      </c>
      <c r="D1929" s="9" t="s">
        <v>3607</v>
      </c>
      <c r="E1929" s="10" t="str">
        <f>HYPERLINK("https://twitter.com/Espanasoberana/status/1065643747537506304","1065643747537506304")</f>
        <v>1065643747537506304</v>
      </c>
      <c r="F1929" s="11" t="s">
        <v>3608</v>
      </c>
      <c r="G1929" s="12"/>
      <c r="H1929" s="12"/>
      <c r="I1929" s="13">
        <v>0</v>
      </c>
      <c r="J1929" s="13">
        <v>0</v>
      </c>
      <c r="K1929" s="14" t="str">
        <f>HYPERLINK("http://twitter.com","Twitter Web Client")</f>
        <v>Twitter Web Client</v>
      </c>
      <c r="L1929" s="13">
        <v>464</v>
      </c>
      <c r="M1929" s="13">
        <v>458</v>
      </c>
      <c r="N1929" s="13">
        <v>2</v>
      </c>
      <c r="O1929" s="15"/>
      <c r="P1929" s="6">
        <v>43344.353078703702</v>
      </c>
      <c r="Q1929" s="17" t="s">
        <v>392</v>
      </c>
      <c r="R1929" s="18" t="s">
        <v>7041</v>
      </c>
      <c r="S1929" s="12"/>
      <c r="T1929" s="12"/>
      <c r="U1929" s="10" t="str">
        <f>HYPERLINK("https://pbs.twimg.com/profile_images/1036061901833347077/JbWGQ-Ri.jpg","View")</f>
        <v>View</v>
      </c>
    </row>
    <row r="1930" spans="1:21" ht="30.6">
      <c r="A1930" s="6">
        <v>43426.729537037041</v>
      </c>
      <c r="B1930" s="7" t="str">
        <f>HYPERLINK("https://twitter.com/Mikytoytoy","@Mikytoytoy")</f>
        <v>@Mikytoytoy</v>
      </c>
      <c r="C1930" s="8" t="s">
        <v>7054</v>
      </c>
      <c r="D1930" s="9" t="s">
        <v>6042</v>
      </c>
      <c r="E1930" s="10" t="str">
        <f>HYPERLINK("https://twitter.com/Mikytoytoy/status/1065643703107272704","1065643703107272704")</f>
        <v>1065643703107272704</v>
      </c>
      <c r="F1930" s="11" t="s">
        <v>7055</v>
      </c>
      <c r="G1930" s="12"/>
      <c r="H1930" s="12"/>
      <c r="I1930" s="13">
        <v>0</v>
      </c>
      <c r="J1930" s="13">
        <v>0</v>
      </c>
      <c r="K1930" s="14" t="str">
        <f>HYPERLINK("http://www.facebook.com/twitter","Facebook")</f>
        <v>Facebook</v>
      </c>
      <c r="L1930" s="13">
        <v>221</v>
      </c>
      <c r="M1930" s="13">
        <v>591</v>
      </c>
      <c r="N1930" s="13">
        <v>10</v>
      </c>
      <c r="O1930" s="15"/>
      <c r="P1930" s="6">
        <v>40188.553842592592</v>
      </c>
      <c r="Q1930" s="17" t="s">
        <v>7056</v>
      </c>
      <c r="R1930" s="18" t="s">
        <v>7057</v>
      </c>
      <c r="S1930" s="11" t="s">
        <v>7058</v>
      </c>
      <c r="T1930" s="12"/>
      <c r="U1930" s="10" t="str">
        <f>HYPERLINK("https://pbs.twimg.com/profile_images/1060990570905124865/3lV4NUBi.jpg","View")</f>
        <v>View</v>
      </c>
    </row>
    <row r="1931" spans="1:21" ht="40.799999999999997">
      <c r="A1931" s="6">
        <v>43426.729166666672</v>
      </c>
      <c r="B1931" s="7" t="str">
        <f>HYPERLINK("https://twitter.com/trabajadorescu","@trabajadorescu")</f>
        <v>@trabajadorescu</v>
      </c>
      <c r="C1931" s="20" t="s">
        <v>1203</v>
      </c>
      <c r="D1931" s="9" t="s">
        <v>7059</v>
      </c>
      <c r="E1931" s="10" t="str">
        <f>HYPERLINK("https://twitter.com/trabajadorescu/status/1065643569283719168","1065643569283719168")</f>
        <v>1065643569283719168</v>
      </c>
      <c r="F1931" s="12"/>
      <c r="G1931" s="11" t="s">
        <v>7060</v>
      </c>
      <c r="H1931" s="12"/>
      <c r="I1931" s="13">
        <v>4</v>
      </c>
      <c r="J1931" s="13">
        <v>1</v>
      </c>
      <c r="K1931" s="14" t="str">
        <f>HYPERLINK("https://about.twitter.com/products/tweetdeck","TweetDeck")</f>
        <v>TweetDeck</v>
      </c>
      <c r="L1931" s="13">
        <v>9838</v>
      </c>
      <c r="M1931" s="13">
        <v>272</v>
      </c>
      <c r="N1931" s="13">
        <v>151</v>
      </c>
      <c r="O1931" s="15"/>
      <c r="P1931" s="6">
        <v>40304.712233796294</v>
      </c>
      <c r="Q1931" s="17" t="s">
        <v>52</v>
      </c>
      <c r="R1931" s="18" t="s">
        <v>1206</v>
      </c>
      <c r="S1931" s="11" t="s">
        <v>1207</v>
      </c>
      <c r="T1931" s="12"/>
      <c r="U1931" s="10" t="str">
        <f>HYPERLINK("https://pbs.twimg.com/profile_images/986694080213037056/J0pt8JjI.jpg","View")</f>
        <v>View</v>
      </c>
    </row>
    <row r="1932" spans="1:21" ht="40.799999999999997">
      <c r="A1932" s="6">
        <v>43426.728773148148</v>
      </c>
      <c r="B1932" s="7" t="str">
        <f>HYPERLINK("https://twitter.com/eliperez24","@eliperez24")</f>
        <v>@eliperez24</v>
      </c>
      <c r="C1932" s="8" t="s">
        <v>7061</v>
      </c>
      <c r="D1932" s="9" t="s">
        <v>7062</v>
      </c>
      <c r="E1932" s="10" t="str">
        <f>HYPERLINK("https://twitter.com/eliperez24/status/1065643426883006464","1065643426883006464")</f>
        <v>1065643426883006464</v>
      </c>
      <c r="F1932" s="11" t="s">
        <v>1275</v>
      </c>
      <c r="G1932" s="12"/>
      <c r="H1932" s="12"/>
      <c r="I1932" s="13">
        <v>0</v>
      </c>
      <c r="J1932" s="13">
        <v>0</v>
      </c>
      <c r="K1932" s="14" t="str">
        <f>HYPERLINK("http://twitter.com/download/iphone","Twitter for iPhone")</f>
        <v>Twitter for iPhone</v>
      </c>
      <c r="L1932" s="13">
        <v>2114</v>
      </c>
      <c r="M1932" s="13">
        <v>955</v>
      </c>
      <c r="N1932" s="13">
        <v>18</v>
      </c>
      <c r="O1932" s="15"/>
      <c r="P1932" s="6">
        <v>40204.864999999998</v>
      </c>
      <c r="Q1932" s="17" t="s">
        <v>448</v>
      </c>
      <c r="R1932" s="18" t="s">
        <v>7063</v>
      </c>
      <c r="S1932" s="12"/>
      <c r="T1932" s="12"/>
      <c r="U1932" s="10" t="str">
        <f>HYPERLINK("https://pbs.twimg.com/profile_images/973246534572797954/wXczsLN4.jpg","View")</f>
        <v>View</v>
      </c>
    </row>
    <row r="1933" spans="1:21" ht="30.6">
      <c r="A1933" s="6">
        <v>43426.727997685186</v>
      </c>
      <c r="B1933" s="7" t="str">
        <f>HYPERLINK("https://twitter.com/DN_deportes","@DN_deportes")</f>
        <v>@DN_deportes</v>
      </c>
      <c r="C1933" s="8" t="s">
        <v>7064</v>
      </c>
      <c r="D1933" s="9" t="s">
        <v>7065</v>
      </c>
      <c r="E1933" s="10" t="str">
        <f>HYPERLINK("https://twitter.com/DN_deportes/status/1065643147462680576","1065643147462680576")</f>
        <v>1065643147462680576</v>
      </c>
      <c r="F1933" s="11" t="s">
        <v>7066</v>
      </c>
      <c r="G1933" s="12"/>
      <c r="H1933" s="12"/>
      <c r="I1933" s="13">
        <v>1</v>
      </c>
      <c r="J1933" s="13">
        <v>0</v>
      </c>
      <c r="K1933" s="14" t="str">
        <f>HYPERLINK("http://www.diariodenavarra.es","DN Deportes Minuto a minuto")</f>
        <v>DN Deportes Minuto a minuto</v>
      </c>
      <c r="L1933" s="13">
        <v>6850</v>
      </c>
      <c r="M1933" s="13">
        <v>377</v>
      </c>
      <c r="N1933" s="13">
        <v>103</v>
      </c>
      <c r="O1933" s="15"/>
      <c r="P1933" s="6">
        <v>40067.559606481482</v>
      </c>
      <c r="Q1933" s="12"/>
      <c r="R1933" s="18" t="s">
        <v>7067</v>
      </c>
      <c r="S1933" s="11" t="s">
        <v>7068</v>
      </c>
      <c r="T1933" s="12"/>
      <c r="U1933" s="10" t="str">
        <f>HYPERLINK("https://pbs.twimg.com/profile_images/767740851393003521/QmyF7J0j.jpg","View")</f>
        <v>View</v>
      </c>
    </row>
    <row r="1934" spans="1:21" ht="13.2">
      <c r="A1934" s="6">
        <v>43426.727800925924</v>
      </c>
      <c r="B1934" s="7" t="str">
        <f>HYPERLINK("https://twitter.com/gomezbedmar","@gomezbedmar")</f>
        <v>@gomezbedmar</v>
      </c>
      <c r="C1934" s="8" t="s">
        <v>7069</v>
      </c>
      <c r="D1934" s="9" t="s">
        <v>2091</v>
      </c>
      <c r="E1934" s="10" t="str">
        <f>HYPERLINK("https://twitter.com/gomezbedmar/status/1065643075840737281","1065643075840737281")</f>
        <v>1065643075840737281</v>
      </c>
      <c r="F1934" s="11" t="s">
        <v>2092</v>
      </c>
      <c r="G1934" s="12"/>
      <c r="H1934" s="12"/>
      <c r="I1934" s="13">
        <v>0</v>
      </c>
      <c r="J1934" s="13">
        <v>0</v>
      </c>
      <c r="K1934" s="14" t="str">
        <f>HYPERLINK("http://twitter.com/download/iphone","Twitter for iPhone")</f>
        <v>Twitter for iPhone</v>
      </c>
      <c r="L1934" s="13">
        <v>18</v>
      </c>
      <c r="M1934" s="13">
        <v>25</v>
      </c>
      <c r="N1934" s="13">
        <v>0</v>
      </c>
      <c r="O1934" s="15"/>
      <c r="P1934" s="6">
        <v>40881.071932870371</v>
      </c>
      <c r="Q1934" s="17" t="s">
        <v>7070</v>
      </c>
      <c r="R1934" s="19"/>
      <c r="S1934" s="12"/>
      <c r="T1934" s="12"/>
      <c r="U1934" s="10" t="str">
        <f>HYPERLINK("https://pbs.twimg.com/profile_images/1676706852/image.jpg","View")</f>
        <v>View</v>
      </c>
    </row>
    <row r="1935" spans="1:21" ht="30.6">
      <c r="A1935" s="6">
        <v>43426.727766203709</v>
      </c>
      <c r="B1935" s="7" t="str">
        <f>HYPERLINK("https://twitter.com/YlosBeatles","@YlosBeatles")</f>
        <v>@YlosBeatles</v>
      </c>
      <c r="C1935" s="8" t="s">
        <v>7071</v>
      </c>
      <c r="D1935" s="9" t="s">
        <v>7072</v>
      </c>
      <c r="E1935" s="10" t="str">
        <f>HYPERLINK("https://twitter.com/YlosBeatles/status/1065643063966687232","1065643063966687232")</f>
        <v>1065643063966687232</v>
      </c>
      <c r="F1935" s="12"/>
      <c r="G1935" s="12"/>
      <c r="H1935" s="12"/>
      <c r="I1935" s="13">
        <v>0</v>
      </c>
      <c r="J1935" s="13">
        <v>0</v>
      </c>
      <c r="K1935" s="14" t="str">
        <f>HYPERLINK("http://twitter.com","Twitter Web Client")</f>
        <v>Twitter Web Client</v>
      </c>
      <c r="L1935" s="13">
        <v>455</v>
      </c>
      <c r="M1935" s="13">
        <v>213</v>
      </c>
      <c r="N1935" s="13">
        <v>7</v>
      </c>
      <c r="O1935" s="15"/>
      <c r="P1935" s="6">
        <v>42257.960532407407</v>
      </c>
      <c r="Q1935" s="17" t="s">
        <v>7073</v>
      </c>
      <c r="R1935" s="18" t="s">
        <v>7074</v>
      </c>
      <c r="S1935" s="12"/>
      <c r="T1935" s="12"/>
      <c r="U1935" s="10" t="str">
        <f>HYPERLINK("https://pbs.twimg.com/profile_images/877187359040823296/XnuGw3_1.jpg","View")</f>
        <v>View</v>
      </c>
    </row>
    <row r="1936" spans="1:21" ht="30.6">
      <c r="A1936" s="6">
        <v>43426.727604166663</v>
      </c>
      <c r="B1936" s="7" t="str">
        <f>HYPERLINK("https://twitter.com/HCondestable","@HCondestable")</f>
        <v>@HCondestable</v>
      </c>
      <c r="C1936" s="8" t="s">
        <v>7075</v>
      </c>
      <c r="D1936" s="9" t="s">
        <v>7076</v>
      </c>
      <c r="E1936" s="10" t="str">
        <f>HYPERLINK("https://twitter.com/HCondestable/status/1065643003904237568","1065643003904237568")</f>
        <v>1065643003904237568</v>
      </c>
      <c r="F1936" s="11" t="s">
        <v>7077</v>
      </c>
      <c r="G1936" s="12"/>
      <c r="H1936" s="12"/>
      <c r="I1936" s="13">
        <v>0</v>
      </c>
      <c r="J1936" s="13">
        <v>0</v>
      </c>
      <c r="K1936" s="14" t="str">
        <f>HYPERLINK("http://www.facebook.com/twitter","Facebook")</f>
        <v>Facebook</v>
      </c>
      <c r="L1936" s="13">
        <v>443</v>
      </c>
      <c r="M1936" s="13">
        <v>148</v>
      </c>
      <c r="N1936" s="13">
        <v>19</v>
      </c>
      <c r="O1936" s="15"/>
      <c r="P1936" s="6">
        <v>41100.554293981484</v>
      </c>
      <c r="Q1936" s="17" t="s">
        <v>1960</v>
      </c>
      <c r="R1936" s="18" t="s">
        <v>7078</v>
      </c>
      <c r="S1936" s="11" t="s">
        <v>7079</v>
      </c>
      <c r="T1936" s="12"/>
      <c r="U1936" s="10" t="str">
        <f>HYPERLINK("https://pbs.twimg.com/profile_images/784433502972510208/9eTH_5Fe.jpg","View")</f>
        <v>View</v>
      </c>
    </row>
    <row r="1937" spans="1:21" ht="40.799999999999997">
      <c r="A1937" s="6">
        <v>43426.726898148147</v>
      </c>
      <c r="B1937" s="7" t="str">
        <f>HYPERLINK("https://twitter.com/CUBAH0RA","@CUBAH0RA")</f>
        <v>@CUBAH0RA</v>
      </c>
      <c r="C1937" s="8" t="s">
        <v>272</v>
      </c>
      <c r="D1937" s="9" t="s">
        <v>7080</v>
      </c>
      <c r="E1937" s="10" t="str">
        <f>HYPERLINK("https://twitter.com/CUBAH0RA/status/1065642750014644225","1065642750014644225")</f>
        <v>1065642750014644225</v>
      </c>
      <c r="F1937" s="11" t="s">
        <v>290</v>
      </c>
      <c r="G1937" s="11" t="s">
        <v>7081</v>
      </c>
      <c r="H1937" s="12"/>
      <c r="I1937" s="13">
        <v>1</v>
      </c>
      <c r="J1937" s="13">
        <v>3</v>
      </c>
      <c r="K1937" s="14" t="str">
        <f t="shared" ref="K1937:K1938" si="320">HYPERLINK("http://twitter.com","Twitter Web Client")</f>
        <v>Twitter Web Client</v>
      </c>
      <c r="L1937" s="13">
        <v>35345</v>
      </c>
      <c r="M1937" s="13">
        <v>405</v>
      </c>
      <c r="N1937" s="13">
        <v>445</v>
      </c>
      <c r="O1937" s="15"/>
      <c r="P1937" s="6">
        <v>40126.858055555553</v>
      </c>
      <c r="Q1937" s="17" t="s">
        <v>40</v>
      </c>
      <c r="R1937" s="18" t="s">
        <v>276</v>
      </c>
      <c r="S1937" s="11" t="s">
        <v>278</v>
      </c>
      <c r="T1937" s="12"/>
      <c r="U1937" s="10" t="str">
        <f>HYPERLINK("https://pbs.twimg.com/profile_images/1220122823/cubahora-en-twitter.png","View")</f>
        <v>View</v>
      </c>
    </row>
    <row r="1938" spans="1:21" ht="40.799999999999997">
      <c r="A1938" s="6">
        <v>43426.72657407407</v>
      </c>
      <c r="B1938" s="7" t="str">
        <f>HYPERLINK("https://twitter.com/GetafeDiario","@GetafeDiario")</f>
        <v>@GetafeDiario</v>
      </c>
      <c r="C1938" s="8" t="s">
        <v>7082</v>
      </c>
      <c r="D1938" s="9" t="s">
        <v>7083</v>
      </c>
      <c r="E1938" s="10" t="str">
        <f>HYPERLINK("https://twitter.com/GetafeDiario/status/1065642631953334273","1065642631953334273")</f>
        <v>1065642631953334273</v>
      </c>
      <c r="F1938" s="11" t="s">
        <v>7084</v>
      </c>
      <c r="G1938" s="11" t="s">
        <v>7085</v>
      </c>
      <c r="H1938" s="12"/>
      <c r="I1938" s="13">
        <v>0</v>
      </c>
      <c r="J1938" s="13">
        <v>0</v>
      </c>
      <c r="K1938" s="14" t="str">
        <f t="shared" si="320"/>
        <v>Twitter Web Client</v>
      </c>
      <c r="L1938" s="13">
        <v>1360</v>
      </c>
      <c r="M1938" s="13">
        <v>996</v>
      </c>
      <c r="N1938" s="13">
        <v>27</v>
      </c>
      <c r="O1938" s="15"/>
      <c r="P1938" s="6">
        <v>42195.446018518516</v>
      </c>
      <c r="Q1938" s="17" t="s">
        <v>7086</v>
      </c>
      <c r="R1938" s="18" t="s">
        <v>7087</v>
      </c>
      <c r="S1938" s="11" t="s">
        <v>7088</v>
      </c>
      <c r="T1938" s="12"/>
      <c r="U1938" s="10" t="str">
        <f>HYPERLINK("https://pbs.twimg.com/profile_images/619428368069599232/yaiEQU-p.png","View")</f>
        <v>View</v>
      </c>
    </row>
    <row r="1939" spans="1:21" ht="40.799999999999997">
      <c r="A1939" s="6">
        <v>43426.726053240738</v>
      </c>
      <c r="B1939" s="7" t="str">
        <f>HYPERLINK("https://twitter.com/gcareaga18","@gcareaga18")</f>
        <v>@gcareaga18</v>
      </c>
      <c r="C1939" s="8" t="s">
        <v>1373</v>
      </c>
      <c r="D1939" s="9" t="s">
        <v>6972</v>
      </c>
      <c r="E1939" s="10" t="str">
        <f>HYPERLINK("https://twitter.com/gcareaga18/status/1065642442131677185","1065642442131677185")</f>
        <v>1065642442131677185</v>
      </c>
      <c r="F1939" s="11" t="s">
        <v>6973</v>
      </c>
      <c r="G1939" s="11" t="s">
        <v>7089</v>
      </c>
      <c r="H1939" s="12"/>
      <c r="I1939" s="13">
        <v>0</v>
      </c>
      <c r="J1939" s="13">
        <v>0</v>
      </c>
      <c r="K1939" s="14" t="str">
        <f>HYPERLINK("https://ifttt.com","IFTTT")</f>
        <v>IFTTT</v>
      </c>
      <c r="L1939" s="13">
        <v>47</v>
      </c>
      <c r="M1939" s="13">
        <v>200</v>
      </c>
      <c r="N1939" s="13">
        <v>1</v>
      </c>
      <c r="O1939" s="15"/>
      <c r="P1939" s="6">
        <v>41888.012986111113</v>
      </c>
      <c r="Q1939" s="17" t="s">
        <v>497</v>
      </c>
      <c r="R1939" s="18" t="s">
        <v>1376</v>
      </c>
      <c r="S1939" s="12"/>
      <c r="T1939" s="12"/>
      <c r="U1939" s="10" t="str">
        <f>HYPERLINK("https://pbs.twimg.com/profile_images/984612980334702592/3NYg9Rnm.jpg","View")</f>
        <v>View</v>
      </c>
    </row>
    <row r="1940" spans="1:21" ht="40.799999999999997">
      <c r="A1940" s="6">
        <v>43426.725474537037</v>
      </c>
      <c r="B1940" s="7" t="str">
        <f>HYPERLINK("https://twitter.com/surfistes","@surfistes")</f>
        <v>@surfistes</v>
      </c>
      <c r="C1940" s="8" t="s">
        <v>7090</v>
      </c>
      <c r="D1940" s="9" t="s">
        <v>7091</v>
      </c>
      <c r="E1940" s="10" t="str">
        <f>HYPERLINK("https://twitter.com/surfistes/status/1065642233657991169","1065642233657991169")</f>
        <v>1065642233657991169</v>
      </c>
      <c r="F1940" s="11" t="s">
        <v>6433</v>
      </c>
      <c r="G1940" s="12"/>
      <c r="H1940" s="12"/>
      <c r="I1940" s="13">
        <v>0</v>
      </c>
      <c r="J1940" s="13">
        <v>0</v>
      </c>
      <c r="K1940" s="14" t="str">
        <f t="shared" ref="K1940:K1943" si="321">HYPERLINK("http://twitter.com","Twitter Web Client")</f>
        <v>Twitter Web Client</v>
      </c>
      <c r="L1940" s="13">
        <v>447</v>
      </c>
      <c r="M1940" s="13">
        <v>1180</v>
      </c>
      <c r="N1940" s="13">
        <v>4</v>
      </c>
      <c r="O1940" s="15"/>
      <c r="P1940" s="6">
        <v>40317.067615740743</v>
      </c>
      <c r="Q1940" s="17" t="s">
        <v>4854</v>
      </c>
      <c r="R1940" s="18" t="s">
        <v>7092</v>
      </c>
      <c r="S1940" s="12"/>
      <c r="T1940" s="12"/>
      <c r="U1940" s="10" t="str">
        <f>HYPERLINK("https://pbs.twimg.com/profile_images/1054742717039894529/eDS_VkTx.jpg","View")</f>
        <v>View</v>
      </c>
    </row>
    <row r="1941" spans="1:21" ht="40.799999999999997">
      <c r="A1941" s="6">
        <v>43426.725474537037</v>
      </c>
      <c r="B1941" s="7" t="str">
        <f>HYPERLINK("https://twitter.com/IntelEstr","@IntelEstr")</f>
        <v>@IntelEstr</v>
      </c>
      <c r="C1941" s="8" t="s">
        <v>7093</v>
      </c>
      <c r="D1941" s="9" t="s">
        <v>7094</v>
      </c>
      <c r="E1941" s="10" t="str">
        <f>HYPERLINK("https://twitter.com/IntelEstr/status/1065642232575856642","1065642232575856642")</f>
        <v>1065642232575856642</v>
      </c>
      <c r="F1941" s="12"/>
      <c r="G1941" s="12"/>
      <c r="H1941" s="12"/>
      <c r="I1941" s="13">
        <v>0</v>
      </c>
      <c r="J1941" s="13">
        <v>1</v>
      </c>
      <c r="K1941" s="14" t="str">
        <f t="shared" si="321"/>
        <v>Twitter Web Client</v>
      </c>
      <c r="L1941" s="13">
        <v>263</v>
      </c>
      <c r="M1941" s="13">
        <v>37</v>
      </c>
      <c r="N1941" s="13">
        <v>3</v>
      </c>
      <c r="O1941" s="15"/>
      <c r="P1941" s="6">
        <v>43187.01394675926</v>
      </c>
      <c r="Q1941" s="17" t="s">
        <v>7096</v>
      </c>
      <c r="R1941" s="18" t="s">
        <v>7097</v>
      </c>
      <c r="S1941" s="11" t="s">
        <v>7098</v>
      </c>
      <c r="T1941" s="12"/>
      <c r="U1941" s="10" t="str">
        <f>HYPERLINK("https://pbs.twimg.com/profile_images/978759993536036864/uscdek8a.jpg","View")</f>
        <v>View</v>
      </c>
    </row>
    <row r="1942" spans="1:21" ht="40.799999999999997">
      <c r="A1942" s="6">
        <v>43426.724872685183</v>
      </c>
      <c r="B1942" s="7" t="str">
        <f>HYPERLINK("https://twitter.com/viross222","@viross222")</f>
        <v>@viross222</v>
      </c>
      <c r="C1942" s="8" t="s">
        <v>1342</v>
      </c>
      <c r="D1942" s="9" t="s">
        <v>7099</v>
      </c>
      <c r="E1942" s="10" t="str">
        <f>HYPERLINK("https://twitter.com/viross222/status/1065642014870568961","1065642014870568961")</f>
        <v>1065642014870568961</v>
      </c>
      <c r="F1942" s="11" t="s">
        <v>753</v>
      </c>
      <c r="G1942" s="12"/>
      <c r="H1942" s="12"/>
      <c r="I1942" s="13">
        <v>0</v>
      </c>
      <c r="J1942" s="13">
        <v>0</v>
      </c>
      <c r="K1942" s="14" t="str">
        <f t="shared" si="321"/>
        <v>Twitter Web Client</v>
      </c>
      <c r="L1942" s="13">
        <v>3532</v>
      </c>
      <c r="M1942" s="13">
        <v>3118</v>
      </c>
      <c r="N1942" s="13">
        <v>303</v>
      </c>
      <c r="O1942" s="15"/>
      <c r="P1942" s="6">
        <v>41220.917384259257</v>
      </c>
      <c r="Q1942" s="17" t="s">
        <v>72</v>
      </c>
      <c r="R1942" s="18" t="s">
        <v>1344</v>
      </c>
      <c r="S1942" s="11" t="s">
        <v>1346</v>
      </c>
      <c r="T1942" s="12"/>
      <c r="U1942" s="10" t="str">
        <f>HYPERLINK("https://pbs.twimg.com/profile_images/1064627384442343431/hpdTFt53.jpg","View")</f>
        <v>View</v>
      </c>
    </row>
    <row r="1943" spans="1:21" ht="51">
      <c r="A1943" s="6">
        <v>43426.724687499998</v>
      </c>
      <c r="B1943" s="7" t="str">
        <f>HYPERLINK("https://twitter.com/CUBAH0RA","@CUBAH0RA")</f>
        <v>@CUBAH0RA</v>
      </c>
      <c r="C1943" s="8" t="s">
        <v>272</v>
      </c>
      <c r="D1943" s="9" t="s">
        <v>6765</v>
      </c>
      <c r="E1943" s="10" t="str">
        <f>HYPERLINK("https://twitter.com/CUBAH0RA/status/1065641947677765640","1065641947677765640")</f>
        <v>1065641947677765640</v>
      </c>
      <c r="F1943" s="11" t="s">
        <v>290</v>
      </c>
      <c r="G1943" s="11" t="s">
        <v>6766</v>
      </c>
      <c r="H1943" s="12"/>
      <c r="I1943" s="13">
        <v>1</v>
      </c>
      <c r="J1943" s="13">
        <v>3</v>
      </c>
      <c r="K1943" s="14" t="str">
        <f t="shared" si="321"/>
        <v>Twitter Web Client</v>
      </c>
      <c r="L1943" s="13">
        <v>35345</v>
      </c>
      <c r="M1943" s="13">
        <v>405</v>
      </c>
      <c r="N1943" s="13">
        <v>445</v>
      </c>
      <c r="O1943" s="15"/>
      <c r="P1943" s="6">
        <v>40126.858055555553</v>
      </c>
      <c r="Q1943" s="17" t="s">
        <v>40</v>
      </c>
      <c r="R1943" s="18" t="s">
        <v>276</v>
      </c>
      <c r="S1943" s="11" t="s">
        <v>278</v>
      </c>
      <c r="T1943" s="12"/>
      <c r="U1943" s="10" t="str">
        <f>HYPERLINK("https://pbs.twimg.com/profile_images/1220122823/cubahora-en-twitter.png","View")</f>
        <v>View</v>
      </c>
    </row>
    <row r="1944" spans="1:21" ht="51">
      <c r="A1944" s="6">
        <v>43426.724641203706</v>
      </c>
      <c r="B1944" s="7" t="str">
        <f>HYPERLINK("https://twitter.com/araa2068","@araa2068")</f>
        <v>@araa2068</v>
      </c>
      <c r="C1944" s="8" t="s">
        <v>7100</v>
      </c>
      <c r="D1944" s="9" t="s">
        <v>7101</v>
      </c>
      <c r="E1944" s="10" t="str">
        <f>HYPERLINK("https://twitter.com/araa2068/status/1065641930686701573","1065641930686701573")</f>
        <v>1065641930686701573</v>
      </c>
      <c r="F1944" s="11" t="s">
        <v>7102</v>
      </c>
      <c r="G1944" s="11" t="s">
        <v>7103</v>
      </c>
      <c r="H1944" s="12"/>
      <c r="I1944" s="13">
        <v>0</v>
      </c>
      <c r="J1944" s="13">
        <v>1</v>
      </c>
      <c r="K1944" s="14" t="str">
        <f>HYPERLINK("https://about.twitter.com/products/tweetdeck","TweetDeck")</f>
        <v>TweetDeck</v>
      </c>
      <c r="L1944" s="13">
        <v>167</v>
      </c>
      <c r="M1944" s="13">
        <v>130</v>
      </c>
      <c r="N1944" s="13">
        <v>7</v>
      </c>
      <c r="O1944" s="15"/>
      <c r="P1944" s="6">
        <v>40296.812615740739</v>
      </c>
      <c r="Q1944" s="17" t="s">
        <v>40</v>
      </c>
      <c r="R1944" s="19"/>
      <c r="S1944" s="12"/>
      <c r="T1944" s="12"/>
      <c r="U1944" s="10" t="str">
        <f>HYPERLINK("https://pbs.twimg.com/profile_images/804729813776809984/_oDtc9XK.jpg","View")</f>
        <v>View</v>
      </c>
    </row>
    <row r="1945" spans="1:21" ht="30.6">
      <c r="A1945" s="6">
        <v>43426.724641203706</v>
      </c>
      <c r="B1945" s="7" t="str">
        <f>HYPERLINK("https://twitter.com/NapoleonCampos","@NapoleonCampos")</f>
        <v>@NapoleonCampos</v>
      </c>
      <c r="C1945" s="8" t="s">
        <v>7104</v>
      </c>
      <c r="D1945" s="9" t="s">
        <v>2621</v>
      </c>
      <c r="E1945" s="10" t="str">
        <f>HYPERLINK("https://twitter.com/NapoleonCampos/status/1065641928761458688","1065641928761458688")</f>
        <v>1065641928761458688</v>
      </c>
      <c r="F1945" s="11" t="s">
        <v>641</v>
      </c>
      <c r="G1945" s="12"/>
      <c r="H1945" s="12"/>
      <c r="I1945" s="13">
        <v>0</v>
      </c>
      <c r="J1945" s="13">
        <v>0</v>
      </c>
      <c r="K1945" s="14" t="str">
        <f>HYPERLINK("http://www.facebook.com/twitter","Facebook")</f>
        <v>Facebook</v>
      </c>
      <c r="L1945" s="13">
        <v>2048</v>
      </c>
      <c r="M1945" s="13">
        <v>844</v>
      </c>
      <c r="N1945" s="13">
        <v>84</v>
      </c>
      <c r="O1945" s="15"/>
      <c r="P1945" s="6">
        <v>40806.399340277778</v>
      </c>
      <c r="Q1945" s="17" t="s">
        <v>7105</v>
      </c>
      <c r="R1945" s="18" t="s">
        <v>7106</v>
      </c>
      <c r="S1945" s="11" t="s">
        <v>7107</v>
      </c>
      <c r="T1945" s="12"/>
      <c r="U1945" s="10" t="str">
        <f>HYPERLINK("https://pbs.twimg.com/profile_images/378800000371342273/2d89fe8a61eb7c022372bfd5fb35c346.jpeg","View")</f>
        <v>View</v>
      </c>
    </row>
    <row r="1946" spans="1:21" ht="20.399999999999999">
      <c r="A1946" s="6">
        <v>43426.724421296298</v>
      </c>
      <c r="B1946" s="7" t="str">
        <f>HYPERLINK("https://twitter.com/Metatron19","@Metatron19")</f>
        <v>@Metatron19</v>
      </c>
      <c r="C1946" s="8" t="s">
        <v>3261</v>
      </c>
      <c r="D1946" s="9" t="s">
        <v>640</v>
      </c>
      <c r="E1946" s="10" t="str">
        <f>HYPERLINK("https://twitter.com/Metatron19/status/1065641849208139781","1065641849208139781")</f>
        <v>1065641849208139781</v>
      </c>
      <c r="F1946" s="11" t="s">
        <v>641</v>
      </c>
      <c r="G1946" s="12"/>
      <c r="H1946" s="12"/>
      <c r="I1946" s="13">
        <v>0</v>
      </c>
      <c r="J1946" s="13">
        <v>0</v>
      </c>
      <c r="K1946" s="14" t="str">
        <f>HYPERLINK("http://twitter.com/download/android","Twitter for Android")</f>
        <v>Twitter for Android</v>
      </c>
      <c r="L1946" s="13">
        <v>2946</v>
      </c>
      <c r="M1946" s="13">
        <v>3251</v>
      </c>
      <c r="N1946" s="13">
        <v>87</v>
      </c>
      <c r="O1946" s="15"/>
      <c r="P1946" s="6">
        <v>40849.412766203706</v>
      </c>
      <c r="Q1946" s="12"/>
      <c r="R1946" s="19"/>
      <c r="S1946" s="12"/>
      <c r="T1946" s="12"/>
      <c r="U1946" s="10" t="str">
        <f>HYPERLINK("https://pbs.twimg.com/profile_images/2498598462/hw8fkj29xucc4pu9cid3.jpeg","View")</f>
        <v>View</v>
      </c>
    </row>
    <row r="1947" spans="1:21" ht="40.799999999999997">
      <c r="A1947" s="6">
        <v>43426.724351851852</v>
      </c>
      <c r="B1947" s="7" t="str">
        <f>HYPERLINK("https://twitter.com/yoanisanchez","@yoanisanchez")</f>
        <v>@yoanisanchez</v>
      </c>
      <c r="C1947" s="8" t="s">
        <v>170</v>
      </c>
      <c r="D1947" s="9" t="s">
        <v>6995</v>
      </c>
      <c r="E1947" s="10" t="str">
        <f>HYPERLINK("https://twitter.com/yoanisanchez/status/1065641824692445184","1065641824692445184")</f>
        <v>1065641824692445184</v>
      </c>
      <c r="F1947" s="11" t="s">
        <v>6973</v>
      </c>
      <c r="G1947" s="11" t="s">
        <v>7089</v>
      </c>
      <c r="H1947" s="12"/>
      <c r="I1947" s="13">
        <v>10</v>
      </c>
      <c r="J1947" s="13">
        <v>10</v>
      </c>
      <c r="K1947" s="14" t="str">
        <f t="shared" ref="K1947:K1948" si="322">HYPERLINK("http://twitter.com","Twitter Web Client")</f>
        <v>Twitter Web Client</v>
      </c>
      <c r="L1947" s="13">
        <v>756016</v>
      </c>
      <c r="M1947" s="13">
        <v>83952</v>
      </c>
      <c r="N1947" s="13">
        <v>9394</v>
      </c>
      <c r="O1947" s="16" t="s">
        <v>26</v>
      </c>
      <c r="P1947" s="6">
        <v>39685.015219907407</v>
      </c>
      <c r="Q1947" s="17" t="s">
        <v>40</v>
      </c>
      <c r="R1947" s="18" t="s">
        <v>173</v>
      </c>
      <c r="S1947" s="11" t="s">
        <v>174</v>
      </c>
      <c r="T1947" s="12"/>
      <c r="U1947" s="10" t="str">
        <f>HYPERLINK("https://pbs.twimg.com/profile_images/932259310108753920/LQ1YpmBM.jpg","View")</f>
        <v>View</v>
      </c>
    </row>
    <row r="1948" spans="1:21" ht="20.399999999999999">
      <c r="A1948" s="6">
        <v>43426.723726851851</v>
      </c>
      <c r="B1948" s="7" t="str">
        <f>HYPERLINK("https://twitter.com/ldpsincomplejos","@ldpsincomplejos")</f>
        <v>@ldpsincomplejos</v>
      </c>
      <c r="C1948" s="8" t="s">
        <v>3486</v>
      </c>
      <c r="D1948" s="9" t="s">
        <v>7109</v>
      </c>
      <c r="E1948" s="10" t="str">
        <f>HYPERLINK("https://twitter.com/ldpsincomplejos/status/1065641599567302656","1065641599567302656")</f>
        <v>1065641599567302656</v>
      </c>
      <c r="F1948" s="11" t="s">
        <v>7110</v>
      </c>
      <c r="G1948" s="12"/>
      <c r="H1948" s="12"/>
      <c r="I1948" s="13">
        <v>87</v>
      </c>
      <c r="J1948" s="13">
        <v>141</v>
      </c>
      <c r="K1948" s="14" t="str">
        <f t="shared" si="322"/>
        <v>Twitter Web Client</v>
      </c>
      <c r="L1948" s="13">
        <v>108177</v>
      </c>
      <c r="M1948" s="13">
        <v>2604</v>
      </c>
      <c r="N1948" s="13">
        <v>1072</v>
      </c>
      <c r="O1948" s="16" t="s">
        <v>26</v>
      </c>
      <c r="P1948" s="6">
        <v>40566.777245370373</v>
      </c>
      <c r="Q1948" s="17" t="s">
        <v>72</v>
      </c>
      <c r="R1948" s="18" t="s">
        <v>3488</v>
      </c>
      <c r="S1948" s="11" t="s">
        <v>3489</v>
      </c>
      <c r="T1948" s="12"/>
      <c r="U1948" s="10" t="str">
        <f>HYPERLINK("https://pbs.twimg.com/profile_images/1007677959245828097/i-2yAFvg.jpg","View")</f>
        <v>View</v>
      </c>
    </row>
    <row r="1949" spans="1:21" ht="30.6">
      <c r="A1949" s="6">
        <v>43426.721782407403</v>
      </c>
      <c r="B1949" s="7" t="str">
        <f>HYPERLINK("https://twitter.com/HuffPostPolitic","@HuffPostPolitic")</f>
        <v>@HuffPostPolitic</v>
      </c>
      <c r="C1949" s="8" t="s">
        <v>7112</v>
      </c>
      <c r="D1949" s="9" t="s">
        <v>7113</v>
      </c>
      <c r="E1949" s="10" t="str">
        <f>HYPERLINK("https://twitter.com/HuffPostPolitic/status/1065640894311948289","1065640894311948289")</f>
        <v>1065640894311948289</v>
      </c>
      <c r="F1949" s="11" t="s">
        <v>7114</v>
      </c>
      <c r="G1949" s="12"/>
      <c r="H1949" s="12"/>
      <c r="I1949" s="13">
        <v>2</v>
      </c>
      <c r="J1949" s="13">
        <v>1</v>
      </c>
      <c r="K1949" s="14" t="str">
        <f t="shared" ref="K1949:K1950" si="323">HYPERLINK("https://about.twitter.com/products/tweetdeck","TweetDeck")</f>
        <v>TweetDeck</v>
      </c>
      <c r="L1949" s="13">
        <v>7687</v>
      </c>
      <c r="M1949" s="13">
        <v>1765</v>
      </c>
      <c r="N1949" s="13">
        <v>77</v>
      </c>
      <c r="O1949" s="16" t="s">
        <v>26</v>
      </c>
      <c r="P1949" s="6">
        <v>42157.809976851851</v>
      </c>
      <c r="Q1949" s="17" t="s">
        <v>28</v>
      </c>
      <c r="R1949" s="18" t="s">
        <v>7115</v>
      </c>
      <c r="S1949" s="11" t="s">
        <v>7116</v>
      </c>
      <c r="T1949" s="12"/>
      <c r="U1949" s="10" t="str">
        <f>HYPERLINK("https://pbs.twimg.com/profile_images/875474617674199040/XZKX-2Wb.jpg","View")</f>
        <v>View</v>
      </c>
    </row>
    <row r="1950" spans="1:21" ht="20.399999999999999">
      <c r="A1950" s="6">
        <v>43426.721018518518</v>
      </c>
      <c r="B1950" s="7" t="str">
        <f t="shared" ref="B1950:B1951" si="324">HYPERLINK("https://twitter.com/radiocmhw","@radiocmhw")</f>
        <v>@radiocmhw</v>
      </c>
      <c r="C1950" s="8" t="s">
        <v>7117</v>
      </c>
      <c r="D1950" s="9" t="s">
        <v>7118</v>
      </c>
      <c r="E1950" s="10" t="str">
        <f>HYPERLINK("https://twitter.com/radiocmhw/status/1065640615382343681","1065640615382343681")</f>
        <v>1065640615382343681</v>
      </c>
      <c r="F1950" s="11" t="s">
        <v>7119</v>
      </c>
      <c r="G1950" s="12"/>
      <c r="H1950" s="12"/>
      <c r="I1950" s="13">
        <v>0</v>
      </c>
      <c r="J1950" s="13">
        <v>0</v>
      </c>
      <c r="K1950" s="14" t="str">
        <f t="shared" si="323"/>
        <v>TweetDeck</v>
      </c>
      <c r="L1950" s="13">
        <v>4974</v>
      </c>
      <c r="M1950" s="13">
        <v>1027</v>
      </c>
      <c r="N1950" s="13">
        <v>79</v>
      </c>
      <c r="O1950" s="15"/>
      <c r="P1950" s="6">
        <v>40095.773310185185</v>
      </c>
      <c r="Q1950" s="17" t="s">
        <v>7120</v>
      </c>
      <c r="R1950" s="18" t="s">
        <v>7121</v>
      </c>
      <c r="S1950" s="11" t="s">
        <v>7122</v>
      </c>
      <c r="T1950" s="12"/>
      <c r="U1950" s="10" t="str">
        <f t="shared" ref="U1950:U1951" si="325">HYPERLINK("https://pbs.twimg.com/profile_images/698491539681447936/lhP0EKov.jpg","View")</f>
        <v>View</v>
      </c>
    </row>
    <row r="1951" spans="1:21" ht="20.399999999999999">
      <c r="A1951" s="6">
        <v>43426.720902777779</v>
      </c>
      <c r="B1951" s="7" t="str">
        <f t="shared" si="324"/>
        <v>@radiocmhw</v>
      </c>
      <c r="C1951" s="8" t="s">
        <v>7117</v>
      </c>
      <c r="D1951" s="9" t="s">
        <v>7123</v>
      </c>
      <c r="E1951" s="10" t="str">
        <f>HYPERLINK("https://twitter.com/radiocmhw/status/1065640576748580864","1065640576748580864")</f>
        <v>1065640576748580864</v>
      </c>
      <c r="F1951" s="11" t="s">
        <v>7119</v>
      </c>
      <c r="G1951" s="12"/>
      <c r="H1951" s="12"/>
      <c r="I1951" s="13">
        <v>0</v>
      </c>
      <c r="J1951" s="13">
        <v>0</v>
      </c>
      <c r="K1951" s="14" t="str">
        <f>HYPERLINK("http://www.facebook.com/twitter","Facebook")</f>
        <v>Facebook</v>
      </c>
      <c r="L1951" s="13">
        <v>4974</v>
      </c>
      <c r="M1951" s="13">
        <v>1027</v>
      </c>
      <c r="N1951" s="13">
        <v>79</v>
      </c>
      <c r="O1951" s="15"/>
      <c r="P1951" s="6">
        <v>40095.773310185185</v>
      </c>
      <c r="Q1951" s="17" t="s">
        <v>7120</v>
      </c>
      <c r="R1951" s="18" t="s">
        <v>7121</v>
      </c>
      <c r="S1951" s="11" t="s">
        <v>7122</v>
      </c>
      <c r="T1951" s="12"/>
      <c r="U1951" s="10" t="str">
        <f t="shared" si="325"/>
        <v>View</v>
      </c>
    </row>
    <row r="1952" spans="1:21" ht="20.399999999999999">
      <c r="A1952" s="6">
        <v>43426.720833333333</v>
      </c>
      <c r="B1952" s="7" t="str">
        <f>HYPERLINK("https://twitter.com/Rafaelsargo","@Rafaelsargo")</f>
        <v>@Rafaelsargo</v>
      </c>
      <c r="C1952" s="8" t="s">
        <v>7124</v>
      </c>
      <c r="D1952" s="9" t="s">
        <v>640</v>
      </c>
      <c r="E1952" s="10" t="str">
        <f>HYPERLINK("https://twitter.com/Rafaelsargo/status/1065640549573644288","1065640549573644288")</f>
        <v>1065640549573644288</v>
      </c>
      <c r="F1952" s="11" t="s">
        <v>641</v>
      </c>
      <c r="G1952" s="12"/>
      <c r="H1952" s="12"/>
      <c r="I1952" s="13">
        <v>0</v>
      </c>
      <c r="J1952" s="13">
        <v>0</v>
      </c>
      <c r="K1952" s="14" t="str">
        <f t="shared" ref="K1952:K1953" si="326">HYPERLINK("http://twitter.com/download/android","Twitter for Android")</f>
        <v>Twitter for Android</v>
      </c>
      <c r="L1952" s="13">
        <v>173</v>
      </c>
      <c r="M1952" s="13">
        <v>431</v>
      </c>
      <c r="N1952" s="13">
        <v>1</v>
      </c>
      <c r="O1952" s="15"/>
      <c r="P1952" s="6">
        <v>42136.529942129629</v>
      </c>
      <c r="Q1952" s="12"/>
      <c r="R1952" s="19"/>
      <c r="S1952" s="12"/>
      <c r="T1952" s="12"/>
      <c r="U1952" s="10" t="str">
        <f>HYPERLINK("https://pbs.twimg.com/profile_images/1043500334532956160/jlCSbud9.jpg","View")</f>
        <v>View</v>
      </c>
    </row>
    <row r="1953" spans="1:21" ht="40.799999999999997">
      <c r="A1953" s="6">
        <v>43426.72011574074</v>
      </c>
      <c r="B1953" s="7" t="str">
        <f>HYPERLINK("https://twitter.com/caval100","@caval100")</f>
        <v>@caval100</v>
      </c>
      <c r="C1953" s="8" t="s">
        <v>6854</v>
      </c>
      <c r="D1953" s="9" t="s">
        <v>7127</v>
      </c>
      <c r="E1953" s="10" t="str">
        <f>HYPERLINK("https://twitter.com/caval100/status/1065640290793472000","1065640290793472000")</f>
        <v>1065640290793472000</v>
      </c>
      <c r="F1953" s="11" t="s">
        <v>6906</v>
      </c>
      <c r="G1953" s="12"/>
      <c r="H1953" s="12"/>
      <c r="I1953" s="13">
        <v>0</v>
      </c>
      <c r="J1953" s="13">
        <v>2</v>
      </c>
      <c r="K1953" s="14" t="str">
        <f t="shared" si="326"/>
        <v>Twitter for Android</v>
      </c>
      <c r="L1953" s="13">
        <v>119224</v>
      </c>
      <c r="M1953" s="13">
        <v>94076</v>
      </c>
      <c r="N1953" s="13">
        <v>981</v>
      </c>
      <c r="O1953" s="15"/>
      <c r="P1953" s="6">
        <v>40079.437094907407</v>
      </c>
      <c r="Q1953" s="17" t="s">
        <v>6227</v>
      </c>
      <c r="R1953" s="18" t="s">
        <v>6856</v>
      </c>
      <c r="S1953" s="11" t="s">
        <v>6857</v>
      </c>
      <c r="T1953" s="12"/>
      <c r="U1953" s="10" t="str">
        <f>HYPERLINK("https://pbs.twimg.com/profile_images/965350678301429760/uvGI7g8U.jpg","View")</f>
        <v>View</v>
      </c>
    </row>
    <row r="1954" spans="1:21" ht="40.799999999999997">
      <c r="A1954" s="6">
        <v>43426.719398148147</v>
      </c>
      <c r="B1954" s="7" t="str">
        <f>HYPERLINK("https://twitter.com/jatirado","@jatirado")</f>
        <v>@jatirado</v>
      </c>
      <c r="C1954" s="8" t="s">
        <v>1985</v>
      </c>
      <c r="D1954" s="9" t="s">
        <v>2621</v>
      </c>
      <c r="E1954" s="10" t="str">
        <f>HYPERLINK("https://twitter.com/jatirado/status/1065640028565458944","1065640028565458944")</f>
        <v>1065640028565458944</v>
      </c>
      <c r="F1954" s="11" t="s">
        <v>7128</v>
      </c>
      <c r="G1954" s="11" t="s">
        <v>7129</v>
      </c>
      <c r="H1954" s="12"/>
      <c r="I1954" s="13">
        <v>0</v>
      </c>
      <c r="J1954" s="13">
        <v>1</v>
      </c>
      <c r="K1954" s="14" t="str">
        <f>HYPERLINK("https://dlvrit.com/","dlvr.it")</f>
        <v>dlvr.it</v>
      </c>
      <c r="L1954" s="13">
        <v>81726</v>
      </c>
      <c r="M1954" s="13">
        <v>54342</v>
      </c>
      <c r="N1954" s="13">
        <v>1027</v>
      </c>
      <c r="O1954" s="15"/>
      <c r="P1954" s="6">
        <v>40353.552581018521</v>
      </c>
      <c r="Q1954" s="17" t="s">
        <v>72</v>
      </c>
      <c r="R1954" s="18" t="s">
        <v>1988</v>
      </c>
      <c r="S1954" s="11" t="s">
        <v>1989</v>
      </c>
      <c r="T1954" s="12"/>
      <c r="U1954" s="10" t="str">
        <f>HYPERLINK("https://pbs.twimg.com/profile_images/485680559742791680/dg68o8vH.jpeg","View")</f>
        <v>View</v>
      </c>
    </row>
    <row r="1955" spans="1:21" ht="30.6">
      <c r="A1955" s="6">
        <v>43426.719305555554</v>
      </c>
      <c r="B1955" s="7" t="str">
        <f>HYPERLINK("https://twitter.com/Hoy_Honduras_","@Hoy_Honduras_")</f>
        <v>@Hoy_Honduras_</v>
      </c>
      <c r="C1955" s="8" t="s">
        <v>1601</v>
      </c>
      <c r="D1955" s="9" t="s">
        <v>7130</v>
      </c>
      <c r="E1955" s="10" t="str">
        <f>HYPERLINK("https://twitter.com/Hoy_Honduras_/status/1065639996911230976","1065639996911230976")</f>
        <v>1065639996911230976</v>
      </c>
      <c r="F1955" s="11" t="s">
        <v>7131</v>
      </c>
      <c r="G1955" s="12"/>
      <c r="H1955" s="12"/>
      <c r="I1955" s="13">
        <v>0</v>
      </c>
      <c r="J1955" s="13">
        <v>0</v>
      </c>
      <c r="K1955" s="14" t="str">
        <f>HYPERLINK("http://www.facebook.com/twitter","Facebook")</f>
        <v>Facebook</v>
      </c>
      <c r="L1955" s="13">
        <v>373</v>
      </c>
      <c r="M1955" s="13">
        <v>48</v>
      </c>
      <c r="N1955" s="13">
        <v>8</v>
      </c>
      <c r="O1955" s="15"/>
      <c r="P1955" s="6">
        <v>42161.164039351846</v>
      </c>
      <c r="Q1955" s="17" t="s">
        <v>1603</v>
      </c>
      <c r="R1955" s="18" t="s">
        <v>1604</v>
      </c>
      <c r="S1955" s="11" t="s">
        <v>1605</v>
      </c>
      <c r="T1955" s="12"/>
      <c r="U1955" s="10" t="str">
        <f>HYPERLINK("https://pbs.twimg.com/profile_images/828797374273249281/3yR3oIIQ.jpg","View")</f>
        <v>View</v>
      </c>
    </row>
    <row r="1956" spans="1:21" ht="40.799999999999997">
      <c r="A1956" s="6">
        <v>43426.718958333338</v>
      </c>
      <c r="B1956" s="7" t="str">
        <f>HYPERLINK("https://twitter.com/RVertientes","@RVertientes")</f>
        <v>@RVertientes</v>
      </c>
      <c r="C1956" s="8" t="s">
        <v>7132</v>
      </c>
      <c r="D1956" s="9" t="s">
        <v>5055</v>
      </c>
      <c r="E1956" s="10" t="str">
        <f>HYPERLINK("https://twitter.com/RVertientes/status/1065639869479903232","1065639869479903232")</f>
        <v>1065639869479903232</v>
      </c>
      <c r="F1956" s="11" t="s">
        <v>4378</v>
      </c>
      <c r="G1956" s="12"/>
      <c r="H1956" s="12"/>
      <c r="I1956" s="13">
        <v>0</v>
      </c>
      <c r="J1956" s="13">
        <v>1</v>
      </c>
      <c r="K1956" s="14" t="str">
        <f>HYPERLINK("http://twitter.com","Twitter Web Client")</f>
        <v>Twitter Web Client</v>
      </c>
      <c r="L1956" s="13">
        <v>1109</v>
      </c>
      <c r="M1956" s="13">
        <v>518</v>
      </c>
      <c r="N1956" s="13">
        <v>9</v>
      </c>
      <c r="O1956" s="15"/>
      <c r="P1956" s="6">
        <v>40663.050254629634</v>
      </c>
      <c r="Q1956" s="17" t="s">
        <v>40</v>
      </c>
      <c r="R1956" s="18" t="s">
        <v>7133</v>
      </c>
      <c r="S1956" s="11" t="s">
        <v>7134</v>
      </c>
      <c r="T1956" s="12"/>
      <c r="U1956" s="10" t="str">
        <f>HYPERLINK("https://pbs.twimg.com/profile_images/1025037202600812545/oEB8LQR6.jpg","View")</f>
        <v>View</v>
      </c>
    </row>
    <row r="1957" spans="1:21" ht="20.399999999999999">
      <c r="A1957" s="6">
        <v>43426.718900462962</v>
      </c>
      <c r="B1957" s="7" t="str">
        <f>HYPERLINK("https://twitter.com/JuezBeatriz","@JuezBeatriz")</f>
        <v>@JuezBeatriz</v>
      </c>
      <c r="C1957" s="8" t="s">
        <v>7135</v>
      </c>
      <c r="D1957" s="9" t="s">
        <v>6345</v>
      </c>
      <c r="E1957" s="10" t="str">
        <f>HYPERLINK("https://twitter.com/JuezBeatriz/status/1065639851511504898","1065639851511504898")</f>
        <v>1065639851511504898</v>
      </c>
      <c r="F1957" s="11" t="s">
        <v>6346</v>
      </c>
      <c r="G1957" s="12"/>
      <c r="H1957" s="12"/>
      <c r="I1957" s="13">
        <v>0</v>
      </c>
      <c r="J1957" s="13">
        <v>0</v>
      </c>
      <c r="K1957" s="14" t="str">
        <f>HYPERLINK("http://twitter.com/download/iphone","Twitter for iPhone")</f>
        <v>Twitter for iPhone</v>
      </c>
      <c r="L1957" s="13">
        <v>653</v>
      </c>
      <c r="M1957" s="13">
        <v>2116</v>
      </c>
      <c r="N1957" s="13">
        <v>34</v>
      </c>
      <c r="O1957" s="15"/>
      <c r="P1957" s="6">
        <v>39911.023865740739</v>
      </c>
      <c r="Q1957" s="17" t="s">
        <v>1051</v>
      </c>
      <c r="R1957" s="18" t="s">
        <v>7136</v>
      </c>
      <c r="S1957" s="12"/>
      <c r="T1957" s="12"/>
      <c r="U1957" s="10" t="str">
        <f>HYPERLINK("https://pbs.twimg.com/profile_images/844372962186842112/hCyteF-p.jpg","View")</f>
        <v>View</v>
      </c>
    </row>
    <row r="1958" spans="1:21" ht="40.799999999999997">
      <c r="A1958" s="6">
        <v>43426.718819444446</v>
      </c>
      <c r="B1958" s="7" t="str">
        <f>HYPERLINK("https://twitter.com/CorneliaCinna","@CorneliaCinna")</f>
        <v>@CorneliaCinna</v>
      </c>
      <c r="C1958" s="8" t="s">
        <v>7137</v>
      </c>
      <c r="D1958" s="9" t="s">
        <v>7138</v>
      </c>
      <c r="E1958" s="10" t="str">
        <f>HYPERLINK("https://twitter.com/CorneliaCinna/status/1065639819827691521","1065639819827691521")</f>
        <v>1065639819827691521</v>
      </c>
      <c r="F1958" s="11" t="s">
        <v>7139</v>
      </c>
      <c r="G1958" s="12"/>
      <c r="H1958" s="12"/>
      <c r="I1958" s="13">
        <v>3</v>
      </c>
      <c r="J1958" s="13">
        <v>2</v>
      </c>
      <c r="K1958" s="14" t="str">
        <f>HYPERLINK("http://twitter.com","Twitter Web Client")</f>
        <v>Twitter Web Client</v>
      </c>
      <c r="L1958" s="13">
        <v>3336</v>
      </c>
      <c r="M1958" s="13">
        <v>1797</v>
      </c>
      <c r="N1958" s="13">
        <v>75</v>
      </c>
      <c r="O1958" s="15"/>
      <c r="P1958" s="6">
        <v>41924.428206018521</v>
      </c>
      <c r="Q1958" s="17" t="s">
        <v>7140</v>
      </c>
      <c r="R1958" s="18" t="s">
        <v>7141</v>
      </c>
      <c r="S1958" s="11" t="s">
        <v>7142</v>
      </c>
      <c r="T1958" s="12"/>
      <c r="U1958" s="10" t="str">
        <f>HYPERLINK("https://pbs.twimg.com/profile_images/779978741741150210/aEvVehBU.jpg","View")</f>
        <v>View</v>
      </c>
    </row>
    <row r="1959" spans="1:21" ht="61.2">
      <c r="A1959" s="6">
        <v>43426.718587962961</v>
      </c>
      <c r="B1959" s="7" t="str">
        <f>HYPERLINK("https://twitter.com/FelixLlerenaCUB","@FelixLlerenaCUB")</f>
        <v>@FelixLlerenaCUB</v>
      </c>
      <c r="C1959" s="8" t="s">
        <v>6808</v>
      </c>
      <c r="D1959" s="9" t="s">
        <v>6809</v>
      </c>
      <c r="E1959" s="10" t="str">
        <f>HYPERLINK("https://twitter.com/FelixLlerenaCUB/status/1065639734746189825","1065639734746189825")</f>
        <v>1065639734746189825</v>
      </c>
      <c r="F1959" s="12"/>
      <c r="G1959" s="11" t="s">
        <v>444</v>
      </c>
      <c r="H1959" s="12"/>
      <c r="I1959" s="13">
        <v>655</v>
      </c>
      <c r="J1959" s="13">
        <v>398</v>
      </c>
      <c r="K1959" s="14" t="str">
        <f>HYPERLINK("http://twitter.com/download/android","Twitter for Android")</f>
        <v>Twitter for Android</v>
      </c>
      <c r="L1959" s="13">
        <v>9052</v>
      </c>
      <c r="M1959" s="13">
        <v>5177</v>
      </c>
      <c r="N1959" s="13">
        <v>32</v>
      </c>
      <c r="O1959" s="15"/>
      <c r="P1959" s="6">
        <v>42828.920624999999</v>
      </c>
      <c r="Q1959" s="12"/>
      <c r="R1959" s="18" t="s">
        <v>6813</v>
      </c>
      <c r="S1959" s="11" t="s">
        <v>6814</v>
      </c>
      <c r="T1959" s="12"/>
      <c r="U1959" s="10" t="str">
        <f>HYPERLINK("https://pbs.twimg.com/profile_images/1056750334264201221/3yV9C-Io.jpg","View")</f>
        <v>View</v>
      </c>
    </row>
    <row r="1960" spans="1:21" ht="30.6">
      <c r="A1960" s="6">
        <v>43426.718206018515</v>
      </c>
      <c r="B1960" s="7" t="str">
        <f>HYPERLINK("https://twitter.com/spaindfernando","@spaindfernando")</f>
        <v>@spaindfernando</v>
      </c>
      <c r="C1960" s="8" t="s">
        <v>7143</v>
      </c>
      <c r="D1960" s="9" t="s">
        <v>7144</v>
      </c>
      <c r="E1960" s="10" t="str">
        <f>HYPERLINK("https://twitter.com/spaindfernando/status/1065639599932915712","1065639599932915712")</f>
        <v>1065639599932915712</v>
      </c>
      <c r="F1960" s="12"/>
      <c r="G1960" s="11" t="s">
        <v>7145</v>
      </c>
      <c r="H1960" s="12"/>
      <c r="I1960" s="13">
        <v>1</v>
      </c>
      <c r="J1960" s="13">
        <v>1</v>
      </c>
      <c r="K1960" s="14" t="str">
        <f>HYPERLINK("http://twitter.com/download/iphone","Twitter for iPhone")</f>
        <v>Twitter for iPhone</v>
      </c>
      <c r="L1960" s="13">
        <v>3316</v>
      </c>
      <c r="M1960" s="13">
        <v>3804</v>
      </c>
      <c r="N1960" s="13">
        <v>9</v>
      </c>
      <c r="O1960" s="15"/>
      <c r="P1960" s="6">
        <v>43012.365706018521</v>
      </c>
      <c r="Q1960" s="17" t="s">
        <v>7146</v>
      </c>
      <c r="R1960" s="18" t="s">
        <v>7147</v>
      </c>
      <c r="S1960" s="12"/>
      <c r="T1960" s="12"/>
      <c r="U1960" s="10" t="str">
        <f>HYPERLINK("https://pbs.twimg.com/profile_images/957892348373020672/qu7M9Sy-.jpg","View")</f>
        <v>View</v>
      </c>
    </row>
    <row r="1961" spans="1:21" ht="30.6">
      <c r="A1961" s="6">
        <v>43426.718032407407</v>
      </c>
      <c r="B1961" s="7" t="str">
        <f>HYPERLINK("https://twitter.com/eslatarde","@eslatarde")</f>
        <v>@eslatarde</v>
      </c>
      <c r="C1961" s="8" t="s">
        <v>7026</v>
      </c>
      <c r="D1961" s="9" t="s">
        <v>7148</v>
      </c>
      <c r="E1961" s="10" t="str">
        <f>HYPERLINK("https://twitter.com/eslatarde/status/1065639535529390082","1065639535529390082")</f>
        <v>1065639535529390082</v>
      </c>
      <c r="F1961" s="12"/>
      <c r="G1961" s="12"/>
      <c r="H1961" s="12"/>
      <c r="I1961" s="13">
        <v>46</v>
      </c>
      <c r="J1961" s="13">
        <v>107</v>
      </c>
      <c r="K1961" s="14" t="str">
        <f>HYPERLINK("http://twitter.com","Twitter Web Client")</f>
        <v>Twitter Web Client</v>
      </c>
      <c r="L1961" s="13">
        <v>21219</v>
      </c>
      <c r="M1961" s="13">
        <v>1195</v>
      </c>
      <c r="N1961" s="13">
        <v>179</v>
      </c>
      <c r="O1961" s="16" t="s">
        <v>26</v>
      </c>
      <c r="P1961" s="6">
        <v>41487.700925925928</v>
      </c>
      <c r="Q1961" s="12"/>
      <c r="R1961" s="18" t="s">
        <v>7028</v>
      </c>
      <c r="S1961" s="11" t="s">
        <v>7029</v>
      </c>
      <c r="T1961" s="12"/>
      <c r="U1961" s="10" t="str">
        <f>HYPERLINK("https://pbs.twimg.com/profile_images/430657794740457472/J8u4e-W3.jpeg","View")</f>
        <v>View</v>
      </c>
    </row>
    <row r="1962" spans="1:21" ht="20.399999999999999">
      <c r="A1962" s="6">
        <v>43426.717291666668</v>
      </c>
      <c r="B1962" s="7" t="str">
        <f>HYPERLINK("https://twitter.com/rematemomento","@rematemomento")</f>
        <v>@rematemomento</v>
      </c>
      <c r="C1962" s="8" t="s">
        <v>7149</v>
      </c>
      <c r="D1962" s="9" t="s">
        <v>3658</v>
      </c>
      <c r="E1962" s="10" t="str">
        <f>HYPERLINK("https://twitter.com/rematemomento/status/1065639265592385537","1065639265592385537")</f>
        <v>1065639265592385537</v>
      </c>
      <c r="F1962" s="11" t="s">
        <v>607</v>
      </c>
      <c r="G1962" s="12"/>
      <c r="H1962" s="12"/>
      <c r="I1962" s="13">
        <v>0</v>
      </c>
      <c r="J1962" s="13">
        <v>0</v>
      </c>
      <c r="K1962" s="14" t="str">
        <f t="shared" ref="K1962:K1963" si="327">HYPERLINK("http://www.facebook.com/twitter","Facebook")</f>
        <v>Facebook</v>
      </c>
      <c r="L1962" s="13">
        <v>47</v>
      </c>
      <c r="M1962" s="13">
        <v>208</v>
      </c>
      <c r="N1962" s="13">
        <v>0</v>
      </c>
      <c r="O1962" s="15"/>
      <c r="P1962" s="6">
        <v>43268.091620370367</v>
      </c>
      <c r="Q1962" s="12"/>
      <c r="R1962" s="19"/>
      <c r="S1962" s="12"/>
      <c r="T1962" s="12"/>
      <c r="U1962" s="10" t="str">
        <f>HYPERLINK("https://pbs.twimg.com/profile_images/1008141577833807872/KmMOLVg7.jpg","View")</f>
        <v>View</v>
      </c>
    </row>
    <row r="1963" spans="1:21" ht="40.799999999999997">
      <c r="A1963" s="6">
        <v>43426.71702546296</v>
      </c>
      <c r="B1963" s="7" t="str">
        <f>HYPERLINK("https://twitter.com/humanistas_net","@humanistas_net")</f>
        <v>@humanistas_net</v>
      </c>
      <c r="C1963" s="8" t="s">
        <v>7150</v>
      </c>
      <c r="D1963" s="9" t="s">
        <v>7151</v>
      </c>
      <c r="E1963" s="10" t="str">
        <f>HYPERLINK("https://twitter.com/humanistas_net/status/1065639170843045888","1065639170843045888")</f>
        <v>1065639170843045888</v>
      </c>
      <c r="F1963" s="11" t="s">
        <v>7152</v>
      </c>
      <c r="G1963" s="12"/>
      <c r="H1963" s="12"/>
      <c r="I1963" s="13">
        <v>0</v>
      </c>
      <c r="J1963" s="13">
        <v>0</v>
      </c>
      <c r="K1963" s="14" t="str">
        <f t="shared" si="327"/>
        <v>Facebook</v>
      </c>
      <c r="L1963" s="13">
        <v>663</v>
      </c>
      <c r="M1963" s="13">
        <v>357</v>
      </c>
      <c r="N1963" s="13">
        <v>16</v>
      </c>
      <c r="O1963" s="15"/>
      <c r="P1963" s="6">
        <v>40586.372164351851</v>
      </c>
      <c r="Q1963" s="17" t="s">
        <v>29</v>
      </c>
      <c r="R1963" s="18" t="s">
        <v>7153</v>
      </c>
      <c r="S1963" s="11" t="s">
        <v>7154</v>
      </c>
      <c r="T1963" s="12"/>
      <c r="U1963" s="10" t="str">
        <f>HYPERLINK("https://pbs.twimg.com/profile_images/593104304640282624/1-dUD9vx.png","View")</f>
        <v>View</v>
      </c>
    </row>
    <row r="1964" spans="1:21" ht="40.799999999999997">
      <c r="A1964" s="6">
        <v>43426.716851851852</v>
      </c>
      <c r="B1964" s="7" t="str">
        <f>HYPERLINK("https://twitter.com/llerices","@llerices")</f>
        <v>@llerices</v>
      </c>
      <c r="C1964" s="8" t="s">
        <v>5413</v>
      </c>
      <c r="D1964" s="9" t="s">
        <v>5929</v>
      </c>
      <c r="E1964" s="10" t="str">
        <f>HYPERLINK("https://twitter.com/llerices/status/1065639107144097795","1065639107144097795")</f>
        <v>1065639107144097795</v>
      </c>
      <c r="F1964" s="11" t="s">
        <v>7155</v>
      </c>
      <c r="G1964" s="12"/>
      <c r="H1964" s="12"/>
      <c r="I1964" s="13">
        <v>0</v>
      </c>
      <c r="J1964" s="13">
        <v>0</v>
      </c>
      <c r="K1964" s="14" t="str">
        <f t="shared" ref="K1964:K1965" si="328">HYPERLINK("http://twitter.com","Twitter Web Client")</f>
        <v>Twitter Web Client</v>
      </c>
      <c r="L1964" s="13">
        <v>647</v>
      </c>
      <c r="M1964" s="13">
        <v>682</v>
      </c>
      <c r="N1964" s="13">
        <v>12</v>
      </c>
      <c r="O1964" s="15"/>
      <c r="P1964" s="6">
        <v>40444.951342592591</v>
      </c>
      <c r="Q1964" s="17" t="s">
        <v>5416</v>
      </c>
      <c r="R1964" s="18" t="s">
        <v>5417</v>
      </c>
      <c r="S1964" s="12"/>
      <c r="T1964" s="12"/>
      <c r="U1964" s="10" t="str">
        <f>HYPERLINK("https://pbs.twimg.com/profile_images/670899507400482816/kPZQ71Og.jpg","View")</f>
        <v>View</v>
      </c>
    </row>
    <row r="1965" spans="1:21" ht="51">
      <c r="A1965" s="6">
        <v>43426.716793981483</v>
      </c>
      <c r="B1965" s="7" t="str">
        <f>HYPERLINK("https://twitter.com/BlaancaNiieves","@BlaancaNiieves")</f>
        <v>@BlaancaNiieves</v>
      </c>
      <c r="C1965" s="8" t="s">
        <v>5467</v>
      </c>
      <c r="D1965" s="9" t="s">
        <v>7156</v>
      </c>
      <c r="E1965" s="10" t="str">
        <f>HYPERLINK("https://twitter.com/BlaancaNiieves/status/1065639086332026882","1065639086332026882")</f>
        <v>1065639086332026882</v>
      </c>
      <c r="F1965" s="11" t="s">
        <v>6317</v>
      </c>
      <c r="G1965" s="12"/>
      <c r="H1965" s="12"/>
      <c r="I1965" s="13">
        <v>3</v>
      </c>
      <c r="J1965" s="13">
        <v>1</v>
      </c>
      <c r="K1965" s="14" t="str">
        <f t="shared" si="328"/>
        <v>Twitter Web Client</v>
      </c>
      <c r="L1965" s="13">
        <v>12765</v>
      </c>
      <c r="M1965" s="13">
        <v>7062</v>
      </c>
      <c r="N1965" s="13">
        <v>179</v>
      </c>
      <c r="O1965" s="15"/>
      <c r="P1965" s="6">
        <v>40831.473078703704</v>
      </c>
      <c r="Q1965" s="17" t="s">
        <v>28</v>
      </c>
      <c r="R1965" s="18" t="s">
        <v>5469</v>
      </c>
      <c r="S1965" s="12"/>
      <c r="T1965" s="12"/>
      <c r="U1965" s="10" t="str">
        <f>HYPERLINK("https://pbs.twimg.com/profile_images/2470680169/wsbnexryuc29zw10olvt.jpeg","View")</f>
        <v>View</v>
      </c>
    </row>
    <row r="1966" spans="1:21" ht="40.799999999999997">
      <c r="A1966" s="6">
        <v>43426.71670138889</v>
      </c>
      <c r="B1966" s="7" t="str">
        <f>HYPERLINK("https://twitter.com/MajadahondaNews","@MajadahondaNews")</f>
        <v>@MajadahondaNews</v>
      </c>
      <c r="C1966" s="8" t="s">
        <v>7157</v>
      </c>
      <c r="D1966" s="9" t="s">
        <v>7158</v>
      </c>
      <c r="E1966" s="10" t="str">
        <f>HYPERLINK("https://twitter.com/MajadahondaNews/status/1065639051041153024","1065639051041153024")</f>
        <v>1065639051041153024</v>
      </c>
      <c r="F1966" s="11" t="s">
        <v>7159</v>
      </c>
      <c r="G1966" s="11" t="s">
        <v>7160</v>
      </c>
      <c r="H1966" s="12"/>
      <c r="I1966" s="13">
        <v>0</v>
      </c>
      <c r="J1966" s="13">
        <v>0</v>
      </c>
      <c r="K1966" s="14" t="str">
        <f>HYPERLINK("http://www.noticiasdemajadahonda.es","Tuits ndm")</f>
        <v>Tuits ndm</v>
      </c>
      <c r="L1966" s="13">
        <v>3637</v>
      </c>
      <c r="M1966" s="13">
        <v>81</v>
      </c>
      <c r="N1966" s="13">
        <v>80</v>
      </c>
      <c r="O1966" s="15"/>
      <c r="P1966" s="6">
        <v>40427.706006944441</v>
      </c>
      <c r="Q1966" s="17" t="s">
        <v>7161</v>
      </c>
      <c r="R1966" s="18" t="s">
        <v>7162</v>
      </c>
      <c r="S1966" s="11" t="s">
        <v>7163</v>
      </c>
      <c r="T1966" s="12"/>
      <c r="U1966" s="10" t="str">
        <f>HYPERLINK("https://pbs.twimg.com/profile_images/448828567795679232/7s3Kyzl3.png","View")</f>
        <v>View</v>
      </c>
    </row>
    <row r="1967" spans="1:21" ht="20.399999999999999">
      <c r="A1967" s="6">
        <v>43426.716550925921</v>
      </c>
      <c r="B1967" s="7" t="str">
        <f>HYPERLINK("https://twitter.com/spaincrisis","@spaincrisis")</f>
        <v>@spaincrisis</v>
      </c>
      <c r="C1967" s="8" t="s">
        <v>7164</v>
      </c>
      <c r="D1967" s="9" t="s">
        <v>7165</v>
      </c>
      <c r="E1967" s="10" t="str">
        <f>HYPERLINK("https://twitter.com/spaincrisis/status/1065638999853805569","1065638999853805569")</f>
        <v>1065638999853805569</v>
      </c>
      <c r="F1967" s="11" t="s">
        <v>7166</v>
      </c>
      <c r="G1967" s="12"/>
      <c r="H1967" s="12"/>
      <c r="I1967" s="13">
        <v>2</v>
      </c>
      <c r="J1967" s="13">
        <v>1</v>
      </c>
      <c r="K1967" s="14" t="str">
        <f>HYPERLINK("http://twitter.com","Twitter Web Client")</f>
        <v>Twitter Web Client</v>
      </c>
      <c r="L1967" s="13">
        <v>1631</v>
      </c>
      <c r="M1967" s="13">
        <v>2082</v>
      </c>
      <c r="N1967" s="13">
        <v>27</v>
      </c>
      <c r="O1967" s="15"/>
      <c r="P1967" s="6">
        <v>41271.501932870371</v>
      </c>
      <c r="Q1967" s="17" t="s">
        <v>2097</v>
      </c>
      <c r="R1967" s="19"/>
      <c r="S1967" s="12"/>
      <c r="T1967" s="12"/>
      <c r="U1967" s="10" t="str">
        <f>HYPERLINK("https://pbs.twimg.com/profile_images/958652920920182784/r5Xjgfxi.jpg","View")</f>
        <v>View</v>
      </c>
    </row>
    <row r="1968" spans="1:21" ht="30.6">
      <c r="A1968" s="6">
        <v>43426.716261574074</v>
      </c>
      <c r="B1968" s="7" t="str">
        <f>HYPERLINK("https://twitter.com/dasta56","@dasta56")</f>
        <v>@dasta56</v>
      </c>
      <c r="C1968" s="8" t="s">
        <v>7167</v>
      </c>
      <c r="D1968" s="9" t="s">
        <v>7168</v>
      </c>
      <c r="E1968" s="10" t="str">
        <f>HYPERLINK("https://twitter.com/dasta56/status/1065638893872005120","1065638893872005120")</f>
        <v>1065638893872005120</v>
      </c>
      <c r="F1968" s="17" t="s">
        <v>7169</v>
      </c>
      <c r="G1968" s="12"/>
      <c r="H1968" s="12"/>
      <c r="I1968" s="13">
        <v>0</v>
      </c>
      <c r="J1968" s="13">
        <v>0</v>
      </c>
      <c r="K1968" s="14" t="str">
        <f>HYPERLINK("http://www.linkedin.com/","LinkedIn")</f>
        <v>LinkedIn</v>
      </c>
      <c r="L1968" s="13">
        <v>36</v>
      </c>
      <c r="M1968" s="13">
        <v>245</v>
      </c>
      <c r="N1968" s="13">
        <v>0</v>
      </c>
      <c r="O1968" s="15"/>
      <c r="P1968" s="6">
        <v>41114.973032407404</v>
      </c>
      <c r="Q1968" s="17" t="s">
        <v>7170</v>
      </c>
      <c r="R1968" s="18" t="s">
        <v>7171</v>
      </c>
      <c r="S1968" s="11" t="s">
        <v>7172</v>
      </c>
      <c r="T1968" s="12"/>
      <c r="U1968" s="10" t="str">
        <f>HYPERLINK("https://pbs.twimg.com/profile_images/1023306340704440320/te46YK6V.jpg","View")</f>
        <v>View</v>
      </c>
    </row>
    <row r="1969" spans="1:21" ht="30.6">
      <c r="A1969" s="6">
        <v>43426.71601851852</v>
      </c>
      <c r="B1969" s="7" t="str">
        <f>HYPERLINK("https://twitter.com/nindele","@nindele")</f>
        <v>@nindele</v>
      </c>
      <c r="C1969" s="8" t="s">
        <v>7173</v>
      </c>
      <c r="D1969" s="9" t="s">
        <v>7174</v>
      </c>
      <c r="E1969" s="10" t="str">
        <f>HYPERLINK("https://twitter.com/nindele/status/1065638806689333249","1065638806689333249")</f>
        <v>1065638806689333249</v>
      </c>
      <c r="F1969" s="11" t="s">
        <v>7175</v>
      </c>
      <c r="G1969" s="12"/>
      <c r="H1969" s="12"/>
      <c r="I1969" s="13">
        <v>0</v>
      </c>
      <c r="J1969" s="13">
        <v>1</v>
      </c>
      <c r="K1969" s="14" t="str">
        <f>HYPERLINK("https://curiouscat.me","Curious Cat")</f>
        <v>Curious Cat</v>
      </c>
      <c r="L1969" s="13">
        <v>344</v>
      </c>
      <c r="M1969" s="13">
        <v>640</v>
      </c>
      <c r="N1969" s="13">
        <v>4</v>
      </c>
      <c r="O1969" s="15"/>
      <c r="P1969" s="6">
        <v>41885.605775462966</v>
      </c>
      <c r="Q1969" s="12"/>
      <c r="R1969" s="19"/>
      <c r="S1969" s="12"/>
      <c r="T1969" s="12"/>
      <c r="U1969" s="10" t="str">
        <f>HYPERLINK("https://pbs.twimg.com/profile_images/1064496792660819968/vec9g950.jpg","View")</f>
        <v>View</v>
      </c>
    </row>
    <row r="1970" spans="1:21" ht="40.799999999999997">
      <c r="A1970" s="6">
        <v>43426.714780092589</v>
      </c>
      <c r="B1970" s="7" t="str">
        <f>HYPERLINK("https://twitter.com/zona_Depor","@zona_Depor")</f>
        <v>@zona_Depor</v>
      </c>
      <c r="C1970" s="20" t="s">
        <v>7176</v>
      </c>
      <c r="D1970" s="9" t="s">
        <v>7177</v>
      </c>
      <c r="E1970" s="10" t="str">
        <f>HYPERLINK("https://twitter.com/zona_Depor/status/1065638354950266881","1065638354950266881")</f>
        <v>1065638354950266881</v>
      </c>
      <c r="F1970" s="11" t="s">
        <v>7178</v>
      </c>
      <c r="G1970" s="12"/>
      <c r="H1970" s="12"/>
      <c r="I1970" s="13">
        <v>0</v>
      </c>
      <c r="J1970" s="13">
        <v>0</v>
      </c>
      <c r="K1970" s="14" t="str">
        <f>HYPERLINK("https://ifttt.com","IFTTT")</f>
        <v>IFTTT</v>
      </c>
      <c r="L1970" s="13">
        <v>2436</v>
      </c>
      <c r="M1970" s="13">
        <v>737</v>
      </c>
      <c r="N1970" s="13">
        <v>49</v>
      </c>
      <c r="O1970" s="15"/>
      <c r="P1970" s="6">
        <v>40815.707337962966</v>
      </c>
      <c r="Q1970" s="17" t="s">
        <v>4518</v>
      </c>
      <c r="R1970" s="18" t="s">
        <v>7179</v>
      </c>
      <c r="S1970" s="11" t="s">
        <v>7180</v>
      </c>
      <c r="T1970" s="12"/>
      <c r="U1970" s="10" t="str">
        <f>HYPERLINK("https://pbs.twimg.com/profile_images/1057930459831767041/nSclWOPD.jpg","View")</f>
        <v>View</v>
      </c>
    </row>
    <row r="1971" spans="1:21" ht="20.399999999999999">
      <c r="A1971" s="6">
        <v>43426.713726851856</v>
      </c>
      <c r="B1971" s="7" t="str">
        <f>HYPERLINK("https://twitter.com/mcromero6","@mcromero6")</f>
        <v>@mcromero6</v>
      </c>
      <c r="C1971" s="8" t="s">
        <v>7181</v>
      </c>
      <c r="D1971" s="9" t="s">
        <v>7182</v>
      </c>
      <c r="E1971" s="10" t="str">
        <f>HYPERLINK("https://twitter.com/mcromero6/status/1065637976909246466","1065637976909246466")</f>
        <v>1065637976909246466</v>
      </c>
      <c r="F1971" s="11" t="s">
        <v>372</v>
      </c>
      <c r="G1971" s="12"/>
      <c r="H1971" s="12"/>
      <c r="I1971" s="13">
        <v>0</v>
      </c>
      <c r="J1971" s="13">
        <v>0</v>
      </c>
      <c r="K1971" s="14" t="str">
        <f t="shared" ref="K1971:K1974" si="329">HYPERLINK("http://twitter.com","Twitter Web Client")</f>
        <v>Twitter Web Client</v>
      </c>
      <c r="L1971" s="13">
        <v>31</v>
      </c>
      <c r="M1971" s="13">
        <v>43</v>
      </c>
      <c r="N1971" s="13">
        <v>5</v>
      </c>
      <c r="O1971" s="15"/>
      <c r="P1971" s="6">
        <v>40041.082280092596</v>
      </c>
      <c r="Q1971" s="12"/>
      <c r="R1971" s="19"/>
      <c r="S1971" s="12"/>
      <c r="T1971" s="12"/>
      <c r="U1971" s="10" t="str">
        <f>HYPERLINK("https://pbs.twimg.com/profile_images/559138991056769024/_fuw5DoR.jpeg","View")</f>
        <v>View</v>
      </c>
    </row>
    <row r="1972" spans="1:21" ht="40.799999999999997">
      <c r="A1972" s="6">
        <v>43426.713356481487</v>
      </c>
      <c r="B1972" s="7" t="str">
        <f>HYPERLINK("https://twitter.com/RubenMorenoPal","@RubenMorenoPal")</f>
        <v>@RubenMorenoPal</v>
      </c>
      <c r="C1972" s="8" t="s">
        <v>2432</v>
      </c>
      <c r="D1972" s="9" t="s">
        <v>640</v>
      </c>
      <c r="E1972" s="10" t="str">
        <f>HYPERLINK("https://twitter.com/RubenMorenoPal/status/1065637839805779968","1065637839805779968")</f>
        <v>1065637839805779968</v>
      </c>
      <c r="F1972" s="11" t="s">
        <v>641</v>
      </c>
      <c r="G1972" s="12"/>
      <c r="H1972" s="12"/>
      <c r="I1972" s="13">
        <v>1</v>
      </c>
      <c r="J1972" s="13">
        <v>0</v>
      </c>
      <c r="K1972" s="14" t="str">
        <f t="shared" si="329"/>
        <v>Twitter Web Client</v>
      </c>
      <c r="L1972" s="13">
        <v>97</v>
      </c>
      <c r="M1972" s="13">
        <v>373</v>
      </c>
      <c r="N1972" s="13">
        <v>0</v>
      </c>
      <c r="O1972" s="15"/>
      <c r="P1972" s="6">
        <v>43411.94131944445</v>
      </c>
      <c r="Q1972" s="17" t="s">
        <v>810</v>
      </c>
      <c r="R1972" s="18" t="s">
        <v>2435</v>
      </c>
      <c r="S1972" s="11" t="s">
        <v>2436</v>
      </c>
      <c r="T1972" s="12"/>
      <c r="U1972" s="10" t="str">
        <f>HYPERLINK("https://pbs.twimg.com/profile_images/1060286128492822529/3RWDaKzc.jpg","View")</f>
        <v>View</v>
      </c>
    </row>
    <row r="1973" spans="1:21" ht="30.6">
      <c r="A1973" s="6">
        <v>43426.712800925925</v>
      </c>
      <c r="B1973" s="7" t="str">
        <f>HYPERLINK("https://twitter.com/FanjulSegundo","@FanjulSegundo")</f>
        <v>@FanjulSegundo</v>
      </c>
      <c r="C1973" s="8" t="s">
        <v>1302</v>
      </c>
      <c r="D1973" s="9" t="s">
        <v>7183</v>
      </c>
      <c r="E1973" s="10" t="str">
        <f>HYPERLINK("https://twitter.com/FanjulSegundo/status/1065637639938891776","1065637639938891776")</f>
        <v>1065637639938891776</v>
      </c>
      <c r="F1973" s="12"/>
      <c r="G1973" s="11" t="s">
        <v>7184</v>
      </c>
      <c r="H1973" s="12"/>
      <c r="I1973" s="13">
        <v>5</v>
      </c>
      <c r="J1973" s="13">
        <v>7</v>
      </c>
      <c r="K1973" s="14" t="str">
        <f t="shared" si="329"/>
        <v>Twitter Web Client</v>
      </c>
      <c r="L1973" s="13">
        <v>31771</v>
      </c>
      <c r="M1973" s="13">
        <v>6924</v>
      </c>
      <c r="N1973" s="13">
        <v>103</v>
      </c>
      <c r="O1973" s="15"/>
      <c r="P1973" s="6">
        <v>40925.638194444444</v>
      </c>
      <c r="Q1973" s="12"/>
      <c r="R1973" s="18" t="s">
        <v>1304</v>
      </c>
      <c r="S1973" s="12"/>
      <c r="T1973" s="12"/>
      <c r="U1973" s="10" t="str">
        <f>HYPERLINK("https://pbs.twimg.com/profile_images/3538718854/e54d3fd024ceb7ff0dafe39cefaeb701.png","View")</f>
        <v>View</v>
      </c>
    </row>
    <row r="1974" spans="1:21" ht="51">
      <c r="A1974" s="6">
        <v>43426.712673611109</v>
      </c>
      <c r="B1974" s="7" t="str">
        <f>HYPERLINK("https://twitter.com/indpcom","@indpcom")</f>
        <v>@indpcom</v>
      </c>
      <c r="C1974" s="8" t="s">
        <v>2568</v>
      </c>
      <c r="D1974" s="9" t="s">
        <v>7185</v>
      </c>
      <c r="E1974" s="10" t="str">
        <f>HYPERLINK("https://twitter.com/indpcom/status/1065637595374411776","1065637595374411776")</f>
        <v>1065637595374411776</v>
      </c>
      <c r="F1974" s="11" t="s">
        <v>7186</v>
      </c>
      <c r="G1974" s="12"/>
      <c r="H1974" s="12"/>
      <c r="I1974" s="13">
        <v>16</v>
      </c>
      <c r="J1974" s="13">
        <v>6</v>
      </c>
      <c r="K1974" s="14" t="str">
        <f t="shared" si="329"/>
        <v>Twitter Web Client</v>
      </c>
      <c r="L1974" s="13">
        <v>57681</v>
      </c>
      <c r="M1974" s="13">
        <v>1302</v>
      </c>
      <c r="N1974" s="13">
        <v>1097</v>
      </c>
      <c r="O1974" s="16" t="s">
        <v>26</v>
      </c>
      <c r="P1974" s="6">
        <v>42537.702719907407</v>
      </c>
      <c r="Q1974" s="17" t="s">
        <v>141</v>
      </c>
      <c r="R1974" s="18" t="s">
        <v>2569</v>
      </c>
      <c r="S1974" s="11" t="s">
        <v>2570</v>
      </c>
      <c r="T1974" s="12"/>
      <c r="U1974" s="10" t="str">
        <f>HYPERLINK("https://pbs.twimg.com/profile_images/773807977069420544/o4tNI4zQ.jpg","View")</f>
        <v>View</v>
      </c>
    </row>
    <row r="1975" spans="1:21" ht="30.6">
      <c r="A1975" s="6">
        <v>43426.711886574078</v>
      </c>
      <c r="B1975" s="7" t="str">
        <f>HYPERLINK("https://twitter.com/ElHuffPost","@ElHuffPost")</f>
        <v>@ElHuffPost</v>
      </c>
      <c r="C1975" s="8" t="s">
        <v>7187</v>
      </c>
      <c r="D1975" s="9" t="s">
        <v>7113</v>
      </c>
      <c r="E1975" s="10" t="str">
        <f>HYPERLINK("https://twitter.com/ElHuffPost/status/1065637308387520512","1065637308387520512")</f>
        <v>1065637308387520512</v>
      </c>
      <c r="F1975" s="11" t="s">
        <v>7114</v>
      </c>
      <c r="G1975" s="12"/>
      <c r="H1975" s="12"/>
      <c r="I1975" s="13">
        <v>4</v>
      </c>
      <c r="J1975" s="13">
        <v>3</v>
      </c>
      <c r="K1975" s="14" t="str">
        <f>HYPERLINK("https://about.twitter.com/products/tweetdeck","TweetDeck")</f>
        <v>TweetDeck</v>
      </c>
      <c r="L1975" s="13">
        <v>430326</v>
      </c>
      <c r="M1975" s="13">
        <v>1532</v>
      </c>
      <c r="N1975" s="13">
        <v>8188</v>
      </c>
      <c r="O1975" s="16" t="s">
        <v>26</v>
      </c>
      <c r="P1975" s="6">
        <v>40785.027118055557</v>
      </c>
      <c r="Q1975" s="17" t="s">
        <v>1692</v>
      </c>
      <c r="R1975" s="18" t="s">
        <v>7188</v>
      </c>
      <c r="S1975" s="11" t="s">
        <v>7189</v>
      </c>
      <c r="T1975" s="12"/>
      <c r="U1975" s="10" t="str">
        <f>HYPERLINK("https://pbs.twimg.com/profile_images/921140803422089217/ETOEUOAx.jpg","View")</f>
        <v>View</v>
      </c>
    </row>
    <row r="1976" spans="1:21" ht="20.399999999999999">
      <c r="A1976" s="6">
        <v>43426.711863425924</v>
      </c>
      <c r="B1976" s="7" t="str">
        <f>HYPERLINK("https://twitter.com/elperiodicodigi","@elperiodicodigi")</f>
        <v>@elperiodicodigi</v>
      </c>
      <c r="C1976" s="8" t="s">
        <v>7190</v>
      </c>
      <c r="D1976" s="9" t="s">
        <v>7191</v>
      </c>
      <c r="E1976" s="10" t="str">
        <f>HYPERLINK("https://twitter.com/elperiodicodigi/status/1065637299847815168","1065637299847815168")</f>
        <v>1065637299847815168</v>
      </c>
      <c r="F1976" s="11" t="s">
        <v>7192</v>
      </c>
      <c r="G1976" s="11" t="s">
        <v>7193</v>
      </c>
      <c r="H1976" s="12"/>
      <c r="I1976" s="13">
        <v>0</v>
      </c>
      <c r="J1976" s="13">
        <v>0</v>
      </c>
      <c r="K1976" s="14" t="str">
        <f>HYPERLINK("https://dlvrit.com/","dlvr.it")</f>
        <v>dlvr.it</v>
      </c>
      <c r="L1976" s="13">
        <v>3</v>
      </c>
      <c r="M1976" s="13">
        <v>44</v>
      </c>
      <c r="N1976" s="13">
        <v>0</v>
      </c>
      <c r="O1976" s="15"/>
      <c r="P1976" s="6">
        <v>43333.559791666667</v>
      </c>
      <c r="Q1976" s="17" t="s">
        <v>141</v>
      </c>
      <c r="R1976" s="18" t="s">
        <v>7194</v>
      </c>
      <c r="S1976" s="12"/>
      <c r="T1976" s="12"/>
      <c r="U1976" s="10" t="str">
        <f>HYPERLINK("https://pbs.twimg.com/profile_images/1031870273849577472/rQ3rguMh.jpg","View")</f>
        <v>View</v>
      </c>
    </row>
    <row r="1977" spans="1:21" ht="30.6">
      <c r="A1977" s="6">
        <v>43426.711863425924</v>
      </c>
      <c r="B1977" s="7" t="str">
        <f>HYPERLINK("https://twitter.com/CatalanAnalyst","@CatalanAnalyst")</f>
        <v>@CatalanAnalyst</v>
      </c>
      <c r="C1977" s="8" t="s">
        <v>7195</v>
      </c>
      <c r="D1977" s="9" t="s">
        <v>640</v>
      </c>
      <c r="E1977" s="10" t="str">
        <f>HYPERLINK("https://twitter.com/CatalanAnalyst/status/1065637298266669057","1065637298266669057")</f>
        <v>1065637298266669057</v>
      </c>
      <c r="F1977" s="11" t="s">
        <v>641</v>
      </c>
      <c r="G1977" s="12"/>
      <c r="H1977" s="12"/>
      <c r="I1977" s="13">
        <v>0</v>
      </c>
      <c r="J1977" s="13">
        <v>0</v>
      </c>
      <c r="K1977" s="14" t="str">
        <f>HYPERLINK("http://twitter.com","Twitter Web Client")</f>
        <v>Twitter Web Client</v>
      </c>
      <c r="L1977" s="13">
        <v>1560</v>
      </c>
      <c r="M1977" s="13">
        <v>1063</v>
      </c>
      <c r="N1977" s="13">
        <v>55</v>
      </c>
      <c r="O1977" s="15"/>
      <c r="P1977" s="6">
        <v>42228.675289351857</v>
      </c>
      <c r="Q1977" s="17" t="s">
        <v>7199</v>
      </c>
      <c r="R1977" s="27" t="s">
        <v>7200</v>
      </c>
      <c r="S1977" s="11" t="s">
        <v>7201</v>
      </c>
      <c r="T1977" s="12"/>
      <c r="U1977" s="10" t="str">
        <f>HYPERLINK("https://pbs.twimg.com/profile_images/672374611246452738/oM1fXmFA.jpg","View")</f>
        <v>View</v>
      </c>
    </row>
    <row r="1978" spans="1:21" ht="40.799999999999997">
      <c r="A1978" s="6">
        <v>43426.711712962962</v>
      </c>
      <c r="B1978" s="7" t="str">
        <f>HYPERLINK("https://twitter.com/christcarbe","@christcarbe")</f>
        <v>@christcarbe</v>
      </c>
      <c r="C1978" s="8" t="s">
        <v>7204</v>
      </c>
      <c r="D1978" s="9" t="s">
        <v>2837</v>
      </c>
      <c r="E1978" s="10" t="str">
        <f>HYPERLINK("https://twitter.com/christcarbe/status/1065637244554248192","1065637244554248192")</f>
        <v>1065637244554248192</v>
      </c>
      <c r="F1978" s="11" t="s">
        <v>2838</v>
      </c>
      <c r="G1978" s="12"/>
      <c r="H1978" s="12"/>
      <c r="I1978" s="13">
        <v>0</v>
      </c>
      <c r="J1978" s="13">
        <v>0</v>
      </c>
      <c r="K1978" s="14" t="str">
        <f>HYPERLINK("https://www.google.com/","Google")</f>
        <v>Google</v>
      </c>
      <c r="L1978" s="13">
        <v>118</v>
      </c>
      <c r="M1978" s="13">
        <v>380</v>
      </c>
      <c r="N1978" s="13">
        <v>0</v>
      </c>
      <c r="O1978" s="15"/>
      <c r="P1978" s="6">
        <v>41443.495763888888</v>
      </c>
      <c r="Q1978" s="12"/>
      <c r="R1978" s="18" t="s">
        <v>7205</v>
      </c>
      <c r="S1978" s="11" t="s">
        <v>7206</v>
      </c>
      <c r="T1978" s="12"/>
      <c r="U1978" s="10" t="str">
        <f>HYPERLINK("https://pbs.twimg.com/profile_images/378800000010126655/4b9a46eafcecfc40df88f52babb28795.jpeg","View")</f>
        <v>View</v>
      </c>
    </row>
    <row r="1979" spans="1:21" ht="13.2">
      <c r="A1979" s="6">
        <v>43426.710752314815</v>
      </c>
      <c r="B1979" s="7" t="str">
        <f>HYPERLINK("https://twitter.com/algeec38","@algeec38")</f>
        <v>@algeec38</v>
      </c>
      <c r="C1979" s="8" t="s">
        <v>7207</v>
      </c>
      <c r="D1979" s="9" t="s">
        <v>2091</v>
      </c>
      <c r="E1979" s="10" t="str">
        <f>HYPERLINK("https://twitter.com/algeec38/status/1065636896670433280","1065636896670433280")</f>
        <v>1065636896670433280</v>
      </c>
      <c r="F1979" s="11" t="s">
        <v>2092</v>
      </c>
      <c r="G1979" s="12"/>
      <c r="H1979" s="12"/>
      <c r="I1979" s="13">
        <v>0</v>
      </c>
      <c r="J1979" s="13">
        <v>0</v>
      </c>
      <c r="K1979" s="14" t="str">
        <f>HYPERLINK("http://twitter.com","Twitter Web Client")</f>
        <v>Twitter Web Client</v>
      </c>
      <c r="L1979" s="13">
        <v>43</v>
      </c>
      <c r="M1979" s="13">
        <v>228</v>
      </c>
      <c r="N1979" s="13">
        <v>0</v>
      </c>
      <c r="O1979" s="15"/>
      <c r="P1979" s="6">
        <v>41707.810601851852</v>
      </c>
      <c r="Q1979" s="12"/>
      <c r="R1979" s="19"/>
      <c r="S1979" s="12"/>
      <c r="T1979" s="12"/>
      <c r="U1979" s="16" t="s">
        <v>373</v>
      </c>
    </row>
    <row r="1980" spans="1:21" ht="40.799999999999997">
      <c r="A1980" s="6">
        <v>43426.709189814814</v>
      </c>
      <c r="B1980" s="7" t="str">
        <f>HYPERLINK("https://twitter.com/LondresNoticias","@LondresNoticias")</f>
        <v>@LondresNoticias</v>
      </c>
      <c r="C1980" s="8" t="s">
        <v>7208</v>
      </c>
      <c r="D1980" s="9" t="s">
        <v>2621</v>
      </c>
      <c r="E1980" s="10" t="str">
        <f>HYPERLINK("https://twitter.com/LondresNoticias/status/1065636331596988416","1065636331596988416")</f>
        <v>1065636331596988416</v>
      </c>
      <c r="F1980" s="11" t="s">
        <v>7209</v>
      </c>
      <c r="G1980" s="12"/>
      <c r="H1980" s="12"/>
      <c r="I1980" s="13">
        <v>0</v>
      </c>
      <c r="J1980" s="13">
        <v>0</v>
      </c>
      <c r="K1980" s="14" t="str">
        <f>HYPERLINK("https://zapier.com/","Zapier.com")</f>
        <v>Zapier.com</v>
      </c>
      <c r="L1980" s="13">
        <v>415</v>
      </c>
      <c r="M1980" s="13">
        <v>2909</v>
      </c>
      <c r="N1980" s="13">
        <v>4</v>
      </c>
      <c r="O1980" s="15"/>
      <c r="P1980" s="6">
        <v>42902.051620370374</v>
      </c>
      <c r="Q1980" s="17" t="s">
        <v>5559</v>
      </c>
      <c r="R1980" s="18" t="s">
        <v>7210</v>
      </c>
      <c r="S1980" s="12"/>
      <c r="T1980" s="12"/>
      <c r="U1980" s="10" t="str">
        <f>HYPERLINK("https://pbs.twimg.com/profile_images/912653727789670400/Ef80LIiC.jpg","View")</f>
        <v>View</v>
      </c>
    </row>
    <row r="1981" spans="1:21" ht="20.399999999999999">
      <c r="A1981" s="6">
        <v>43426.708877314813</v>
      </c>
      <c r="B1981" s="7" t="str">
        <f>HYPERLINK("https://twitter.com/Inmo_IsabelR","@Inmo_IsabelR")</f>
        <v>@Inmo_IsabelR</v>
      </c>
      <c r="C1981" s="8" t="s">
        <v>7211</v>
      </c>
      <c r="D1981" s="9" t="s">
        <v>7212</v>
      </c>
      <c r="E1981" s="10" t="str">
        <f>HYPERLINK("https://twitter.com/Inmo_IsabelR/status/1065636217922953217","1065636217922953217")</f>
        <v>1065636217922953217</v>
      </c>
      <c r="F1981" s="11" t="s">
        <v>1100</v>
      </c>
      <c r="G1981" s="12"/>
      <c r="H1981" s="12"/>
      <c r="I1981" s="13">
        <v>0</v>
      </c>
      <c r="J1981" s="13">
        <v>0</v>
      </c>
      <c r="K1981" s="14" t="str">
        <f>HYPERLINK("http://www.facebook.com/twitter","Facebook")</f>
        <v>Facebook</v>
      </c>
      <c r="L1981" s="13">
        <v>1685</v>
      </c>
      <c r="M1981" s="13">
        <v>928</v>
      </c>
      <c r="N1981" s="13">
        <v>43</v>
      </c>
      <c r="O1981" s="15"/>
      <c r="P1981" s="6">
        <v>40625.52553240741</v>
      </c>
      <c r="Q1981" s="17" t="s">
        <v>141</v>
      </c>
      <c r="R1981" s="18" t="s">
        <v>7213</v>
      </c>
      <c r="S1981" s="11" t="s">
        <v>7214</v>
      </c>
      <c r="T1981" s="12"/>
      <c r="U1981" s="10" t="str">
        <f>HYPERLINK("https://pbs.twimg.com/profile_images/676741668385763328/a9AiUZVI.jpg","View")</f>
        <v>View</v>
      </c>
    </row>
    <row r="1982" spans="1:21" ht="30.6">
      <c r="A1982" s="6">
        <v>43426.708703703705</v>
      </c>
      <c r="B1982" s="7" t="str">
        <f>HYPERLINK("https://twitter.com/NewsPaperOn1","@NewsPaperOn1")</f>
        <v>@NewsPaperOn1</v>
      </c>
      <c r="C1982" s="8" t="s">
        <v>7215</v>
      </c>
      <c r="D1982" s="9" t="s">
        <v>7216</v>
      </c>
      <c r="E1982" s="10" t="str">
        <f>HYPERLINK("https://twitter.com/NewsPaperOn1/status/1065636153469165569","1065636153469165569")</f>
        <v>1065636153469165569</v>
      </c>
      <c r="F1982" s="11" t="s">
        <v>7217</v>
      </c>
      <c r="G1982" s="11" t="s">
        <v>7218</v>
      </c>
      <c r="H1982" s="12"/>
      <c r="I1982" s="13">
        <v>0</v>
      </c>
      <c r="J1982" s="13">
        <v>1</v>
      </c>
      <c r="K1982" s="14" t="str">
        <f>HYPERLINK("https://www.hootsuite.com","Hootsuite Inc.")</f>
        <v>Hootsuite Inc.</v>
      </c>
      <c r="L1982" s="13">
        <v>299</v>
      </c>
      <c r="M1982" s="13">
        <v>347</v>
      </c>
      <c r="N1982" s="13">
        <v>0</v>
      </c>
      <c r="O1982" s="15"/>
      <c r="P1982" s="6">
        <v>42563.908136574071</v>
      </c>
      <c r="Q1982" s="17" t="s">
        <v>4262</v>
      </c>
      <c r="R1982" s="18" t="s">
        <v>7219</v>
      </c>
      <c r="S1982" s="11" t="s">
        <v>7220</v>
      </c>
      <c r="T1982" s="12"/>
      <c r="U1982" s="10" t="str">
        <f>HYPERLINK("https://pbs.twimg.com/profile_images/925699894836367361/6hRQ8H3D.jpg","View")</f>
        <v>View</v>
      </c>
    </row>
    <row r="1983" spans="1:21" ht="40.799999999999997">
      <c r="A1983" s="6">
        <v>43426.708645833336</v>
      </c>
      <c r="B1983" s="7" t="str">
        <f>HYPERLINK("https://twitter.com/borrasca4","@borrasca4")</f>
        <v>@borrasca4</v>
      </c>
      <c r="C1983" s="8" t="s">
        <v>7221</v>
      </c>
      <c r="D1983" s="9" t="s">
        <v>7222</v>
      </c>
      <c r="E1983" s="10" t="str">
        <f>HYPERLINK("https://twitter.com/borrasca4/status/1065636133520986113","1065636133520986113")</f>
        <v>1065636133520986113</v>
      </c>
      <c r="F1983" s="11" t="s">
        <v>7223</v>
      </c>
      <c r="G1983" s="12"/>
      <c r="H1983" s="12"/>
      <c r="I1983" s="13">
        <v>11</v>
      </c>
      <c r="J1983" s="13">
        <v>11</v>
      </c>
      <c r="K1983" s="14" t="str">
        <f>HYPERLINK("http://twitter.com/download/android","Twitter for Android")</f>
        <v>Twitter for Android</v>
      </c>
      <c r="L1983" s="13">
        <v>2017</v>
      </c>
      <c r="M1983" s="13">
        <v>695</v>
      </c>
      <c r="N1983" s="13">
        <v>7</v>
      </c>
      <c r="O1983" s="15"/>
      <c r="P1983" s="6">
        <v>40603.03743055556</v>
      </c>
      <c r="Q1983" s="17" t="s">
        <v>28</v>
      </c>
      <c r="R1983" s="18" t="s">
        <v>7224</v>
      </c>
      <c r="S1983" s="12"/>
      <c r="T1983" s="12"/>
      <c r="U1983" s="10" t="str">
        <f>HYPERLINK("https://pbs.twimg.com/profile_images/961202988005167105/LiE14RDl.jpg","View")</f>
        <v>View</v>
      </c>
    </row>
    <row r="1984" spans="1:21" ht="40.799999999999997">
      <c r="A1984" s="6">
        <v>43426.708495370374</v>
      </c>
      <c r="B1984" s="7" t="str">
        <f>HYPERLINK("https://twitter.com/lextresabogados","@lextresabogados")</f>
        <v>@lextresabogados</v>
      </c>
      <c r="C1984" s="8" t="s">
        <v>807</v>
      </c>
      <c r="D1984" s="9" t="s">
        <v>7225</v>
      </c>
      <c r="E1984" s="10" t="str">
        <f>HYPERLINK("https://twitter.com/lextresabogados/status/1065636077703233536","1065636077703233536")</f>
        <v>1065636077703233536</v>
      </c>
      <c r="F1984" s="11" t="s">
        <v>7226</v>
      </c>
      <c r="G1984" s="12"/>
      <c r="H1984" s="12"/>
      <c r="I1984" s="13">
        <v>0</v>
      </c>
      <c r="J1984" s="13">
        <v>0</v>
      </c>
      <c r="K1984" s="14" t="str">
        <f>HYPERLINK("http://35.180.36.179","botize nueva")</f>
        <v>botize nueva</v>
      </c>
      <c r="L1984" s="13">
        <v>2229</v>
      </c>
      <c r="M1984" s="13">
        <v>3277</v>
      </c>
      <c r="N1984" s="13">
        <v>22</v>
      </c>
      <c r="O1984" s="15"/>
      <c r="P1984" s="6">
        <v>42880.770949074074</v>
      </c>
      <c r="Q1984" s="17" t="s">
        <v>810</v>
      </c>
      <c r="R1984" s="18" t="s">
        <v>811</v>
      </c>
      <c r="S1984" s="11" t="s">
        <v>812</v>
      </c>
      <c r="T1984" s="12"/>
      <c r="U1984" s="10" t="str">
        <f>HYPERLINK("https://pbs.twimg.com/profile_images/1058352229546164224/xnNCczNu.jpg","View")</f>
        <v>View</v>
      </c>
    </row>
    <row r="1985" spans="1:21" ht="30.6">
      <c r="A1985" s="6">
        <v>43426.708368055552</v>
      </c>
      <c r="B1985" s="7" t="str">
        <f>HYPERLINK("https://twitter.com/esualo","@esualo")</f>
        <v>@esualo</v>
      </c>
      <c r="C1985" s="8" t="s">
        <v>7227</v>
      </c>
      <c r="D1985" s="9" t="s">
        <v>7228</v>
      </c>
      <c r="E1985" s="10" t="str">
        <f>HYPERLINK("https://twitter.com/esualo/status/1065636031029002240","1065636031029002240")</f>
        <v>1065636031029002240</v>
      </c>
      <c r="F1985" s="11" t="s">
        <v>7223</v>
      </c>
      <c r="G1985" s="12"/>
      <c r="H1985" s="12"/>
      <c r="I1985" s="13">
        <v>1</v>
      </c>
      <c r="J1985" s="13">
        <v>0</v>
      </c>
      <c r="K1985" s="14" t="str">
        <f>HYPERLINK("http://twitter.com","Twitter Web Client")</f>
        <v>Twitter Web Client</v>
      </c>
      <c r="L1985" s="13">
        <v>308</v>
      </c>
      <c r="M1985" s="13">
        <v>604</v>
      </c>
      <c r="N1985" s="13">
        <v>0</v>
      </c>
      <c r="O1985" s="15"/>
      <c r="P1985" s="6">
        <v>41432.803159722222</v>
      </c>
      <c r="Q1985" s="17" t="s">
        <v>141</v>
      </c>
      <c r="R1985" s="18" t="s">
        <v>7229</v>
      </c>
      <c r="S1985" s="12"/>
      <c r="T1985" s="12"/>
      <c r="U1985" s="10" t="str">
        <f>HYPERLINK("https://pbs.twimg.com/profile_images/1063752604956729344/1VEymqan.jpg","View")</f>
        <v>View</v>
      </c>
    </row>
    <row r="1986" spans="1:21" ht="20.399999999999999">
      <c r="A1986" s="6">
        <v>43426.708333333328</v>
      </c>
      <c r="B1986" s="7" t="str">
        <f>HYPERLINK("https://twitter.com/cuartopoder","@cuartopoder")</f>
        <v>@cuartopoder</v>
      </c>
      <c r="C1986" s="20" t="s">
        <v>6904</v>
      </c>
      <c r="D1986" s="9" t="s">
        <v>7127</v>
      </c>
      <c r="E1986" s="10" t="str">
        <f>HYPERLINK("https://twitter.com/cuartopoder/status/1065636019595169793","1065636019595169793")</f>
        <v>1065636019595169793</v>
      </c>
      <c r="F1986" s="11" t="s">
        <v>6906</v>
      </c>
      <c r="G1986" s="12"/>
      <c r="H1986" s="12"/>
      <c r="I1986" s="13">
        <v>0</v>
      </c>
      <c r="J1986" s="13">
        <v>0</v>
      </c>
      <c r="K1986" s="14" t="str">
        <f>HYPERLINK("https://about.twitter.com/products/tweetdeck","TweetDeck")</f>
        <v>TweetDeck</v>
      </c>
      <c r="L1986" s="13">
        <v>53157</v>
      </c>
      <c r="M1986" s="13">
        <v>879</v>
      </c>
      <c r="N1986" s="13">
        <v>2355</v>
      </c>
      <c r="O1986" s="15"/>
      <c r="P1986" s="6">
        <v>39890.807442129633</v>
      </c>
      <c r="Q1986" s="17" t="s">
        <v>27</v>
      </c>
      <c r="R1986" s="18" t="s">
        <v>6907</v>
      </c>
      <c r="S1986" s="11" t="s">
        <v>6908</v>
      </c>
      <c r="T1986" s="12"/>
      <c r="U1986" s="10" t="str">
        <f>HYPERLINK("https://pbs.twimg.com/profile_images/991918953978126336/Hz3kVoUk.jpg","View")</f>
        <v>View</v>
      </c>
    </row>
    <row r="1987" spans="1:21" ht="51">
      <c r="A1987" s="6">
        <v>43426.708298611113</v>
      </c>
      <c r="B1987" s="7" t="str">
        <f>HYPERLINK("https://twitter.com/mariaebayon","@mariaebayon")</f>
        <v>@mariaebayon</v>
      </c>
      <c r="C1987" s="8" t="s">
        <v>7230</v>
      </c>
      <c r="D1987" s="9" t="s">
        <v>7231</v>
      </c>
      <c r="E1987" s="10" t="str">
        <f>HYPERLINK("https://twitter.com/mariaebayon/status/1065636006064459776","1065636006064459776")</f>
        <v>1065636006064459776</v>
      </c>
      <c r="F1987" s="12"/>
      <c r="G1987" s="11" t="s">
        <v>7232</v>
      </c>
      <c r="H1987" s="12"/>
      <c r="I1987" s="13">
        <v>0</v>
      </c>
      <c r="J1987" s="13">
        <v>1</v>
      </c>
      <c r="K1987" s="14" t="str">
        <f t="shared" ref="K1987:K1988" si="330">HYPERLINK("http://twitter.com","Twitter Web Client")</f>
        <v>Twitter Web Client</v>
      </c>
      <c r="L1987" s="13">
        <v>2525</v>
      </c>
      <c r="M1987" s="13">
        <v>4845</v>
      </c>
      <c r="N1987" s="13">
        <v>9</v>
      </c>
      <c r="O1987" s="15"/>
      <c r="P1987" s="6">
        <v>42650.980300925927</v>
      </c>
      <c r="Q1987" s="17" t="s">
        <v>7233</v>
      </c>
      <c r="R1987" s="18" t="s">
        <v>7234</v>
      </c>
      <c r="S1987" s="12"/>
      <c r="T1987" s="12"/>
      <c r="U1987" s="10" t="str">
        <f>HYPERLINK("https://pbs.twimg.com/profile_images/784798572776525824/S8XJt6ku.jpg","View")</f>
        <v>View</v>
      </c>
    </row>
    <row r="1988" spans="1:21" ht="20.399999999999999">
      <c r="A1988" s="6">
        <v>43426.70789351852</v>
      </c>
      <c r="B1988" s="7" t="str">
        <f>HYPERLINK("https://twitter.com/lsolis1941","@lsolis1941")</f>
        <v>@lsolis1941</v>
      </c>
      <c r="C1988" s="8" t="s">
        <v>7235</v>
      </c>
      <c r="D1988" s="9" t="s">
        <v>1775</v>
      </c>
      <c r="E1988" s="10" t="str">
        <f>HYPERLINK("https://twitter.com/lsolis1941/status/1065635861440667648","1065635861440667648")</f>
        <v>1065635861440667648</v>
      </c>
      <c r="F1988" s="11" t="s">
        <v>1776</v>
      </c>
      <c r="G1988" s="12"/>
      <c r="H1988" s="12"/>
      <c r="I1988" s="13">
        <v>6</v>
      </c>
      <c r="J1988" s="13">
        <v>5</v>
      </c>
      <c r="K1988" s="14" t="str">
        <f t="shared" si="330"/>
        <v>Twitter Web Client</v>
      </c>
      <c r="L1988" s="13">
        <v>208</v>
      </c>
      <c r="M1988" s="13">
        <v>394</v>
      </c>
      <c r="N1988" s="13">
        <v>1</v>
      </c>
      <c r="O1988" s="15"/>
      <c r="P1988" s="6">
        <v>42345.470243055555</v>
      </c>
      <c r="Q1988" s="17" t="s">
        <v>7236</v>
      </c>
      <c r="R1988" s="18" t="s">
        <v>7237</v>
      </c>
      <c r="S1988" s="12"/>
      <c r="T1988" s="12"/>
      <c r="U1988" s="10" t="str">
        <f>HYPERLINK("https://pbs.twimg.com/profile_images/852569709518221312/6eQmCMjo.jpg","View")</f>
        <v>View</v>
      </c>
    </row>
    <row r="1989" spans="1:21" ht="30.6">
      <c r="A1989" s="6">
        <v>43426.707662037035</v>
      </c>
      <c r="B1989" s="7" t="str">
        <f>HYPERLINK("https://twitter.com/AmerHoy","@AmerHoy")</f>
        <v>@AmerHoy</v>
      </c>
      <c r="C1989" s="8" t="s">
        <v>7238</v>
      </c>
      <c r="D1989" s="9" t="s">
        <v>2621</v>
      </c>
      <c r="E1989" s="10" t="str">
        <f>HYPERLINK("https://twitter.com/AmerHoy/status/1065635779106365441","1065635779106365441")</f>
        <v>1065635779106365441</v>
      </c>
      <c r="F1989" s="11" t="s">
        <v>7239</v>
      </c>
      <c r="G1989" s="11" t="s">
        <v>7240</v>
      </c>
      <c r="H1989" s="12"/>
      <c r="I1989" s="13">
        <v>0</v>
      </c>
      <c r="J1989" s="13">
        <v>0</v>
      </c>
      <c r="K1989" s="14" t="str">
        <f>HYPERLINK("https://dlvrit.com/","dlvr.it")</f>
        <v>dlvr.it</v>
      </c>
      <c r="L1989" s="13">
        <v>168</v>
      </c>
      <c r="M1989" s="13">
        <v>356</v>
      </c>
      <c r="N1989" s="13">
        <v>3</v>
      </c>
      <c r="O1989" s="15"/>
      <c r="P1989" s="6">
        <v>40512.88244212963</v>
      </c>
      <c r="Q1989" s="17" t="s">
        <v>7241</v>
      </c>
      <c r="R1989" s="18" t="s">
        <v>7242</v>
      </c>
      <c r="S1989" s="11" t="s">
        <v>7243</v>
      </c>
      <c r="T1989" s="12"/>
      <c r="U1989" s="10" t="str">
        <f>HYPERLINK("https://pbs.twimg.com/profile_images/608256845744996352/H8VQC3as.jpg","View")</f>
        <v>View</v>
      </c>
    </row>
    <row r="1990" spans="1:21" ht="40.799999999999997">
      <c r="A1990" s="6">
        <v>43426.707199074073</v>
      </c>
      <c r="B1990" s="7" t="str">
        <f>HYPERLINK("https://twitter.com/jvidorreta","@jvidorreta")</f>
        <v>@jvidorreta</v>
      </c>
      <c r="C1990" s="8" t="s">
        <v>7244</v>
      </c>
      <c r="D1990" s="9" t="s">
        <v>7228</v>
      </c>
      <c r="E1990" s="10" t="str">
        <f>HYPERLINK("https://twitter.com/jvidorreta/status/1065635611384692736","1065635611384692736")</f>
        <v>1065635611384692736</v>
      </c>
      <c r="F1990" s="11" t="s">
        <v>7223</v>
      </c>
      <c r="G1990" s="12"/>
      <c r="H1990" s="12"/>
      <c r="I1990" s="13">
        <v>0</v>
      </c>
      <c r="J1990" s="13">
        <v>0</v>
      </c>
      <c r="K1990" s="14" t="str">
        <f t="shared" ref="K1990:K1991" si="331">HYPERLINK("http://twitter.com","Twitter Web Client")</f>
        <v>Twitter Web Client</v>
      </c>
      <c r="L1990" s="13">
        <v>620</v>
      </c>
      <c r="M1990" s="13">
        <v>2750</v>
      </c>
      <c r="N1990" s="13">
        <v>19</v>
      </c>
      <c r="O1990" s="15"/>
      <c r="P1990" s="6">
        <v>40955.917719907404</v>
      </c>
      <c r="Q1990" s="17" t="s">
        <v>27</v>
      </c>
      <c r="R1990" s="18" t="s">
        <v>7245</v>
      </c>
      <c r="S1990" s="12"/>
      <c r="T1990" s="12"/>
      <c r="U1990" s="10" t="str">
        <f>HYPERLINK("https://pbs.twimg.com/profile_images/1839340774/image.jpg","View")</f>
        <v>View</v>
      </c>
    </row>
    <row r="1991" spans="1:21" ht="40.799999999999997">
      <c r="A1991" s="6">
        <v>43426.706377314811</v>
      </c>
      <c r="B1991" s="7" t="str">
        <f>HYPERLINK("https://twitter.com/CarmenDeCarlos","@CarmenDeCarlos")</f>
        <v>@CarmenDeCarlos</v>
      </c>
      <c r="C1991" s="8" t="s">
        <v>7246</v>
      </c>
      <c r="D1991" s="9" t="s">
        <v>7247</v>
      </c>
      <c r="E1991" s="10" t="str">
        <f>HYPERLINK("https://twitter.com/CarmenDeCarlos/status/1065635312234315776","1065635312234315776")</f>
        <v>1065635312234315776</v>
      </c>
      <c r="F1991" s="11" t="s">
        <v>7248</v>
      </c>
      <c r="G1991" s="12"/>
      <c r="H1991" s="12"/>
      <c r="I1991" s="13">
        <v>0</v>
      </c>
      <c r="J1991" s="13">
        <v>0</v>
      </c>
      <c r="K1991" s="14" t="str">
        <f t="shared" si="331"/>
        <v>Twitter Web Client</v>
      </c>
      <c r="L1991" s="13">
        <v>3256</v>
      </c>
      <c r="M1991" s="13">
        <v>1737</v>
      </c>
      <c r="N1991" s="13">
        <v>115</v>
      </c>
      <c r="O1991" s="15"/>
      <c r="P1991" s="6">
        <v>40123.024247685185</v>
      </c>
      <c r="Q1991" s="17" t="s">
        <v>36</v>
      </c>
      <c r="R1991" s="18" t="s">
        <v>7249</v>
      </c>
      <c r="S1991" s="11" t="s">
        <v>7250</v>
      </c>
      <c r="T1991" s="12"/>
      <c r="U1991" s="10" t="str">
        <f>HYPERLINK("https://pbs.twimg.com/profile_images/798687579449262080/HahWhU4h.jpg","View")</f>
        <v>View</v>
      </c>
    </row>
    <row r="1992" spans="1:21" ht="13.2">
      <c r="A1992" s="6">
        <v>43426.706307870365</v>
      </c>
      <c r="B1992" s="7" t="str">
        <f>HYPERLINK("https://twitter.com/TeresaGS26","@TeresaGS26")</f>
        <v>@TeresaGS26</v>
      </c>
      <c r="C1992" s="8" t="s">
        <v>2686</v>
      </c>
      <c r="D1992" s="9" t="s">
        <v>7251</v>
      </c>
      <c r="E1992" s="10" t="str">
        <f>HYPERLINK("https://twitter.com/TeresaGS26/status/1065635286212857856","1065635286212857856")</f>
        <v>1065635286212857856</v>
      </c>
      <c r="F1992" s="11" t="s">
        <v>7252</v>
      </c>
      <c r="G1992" s="12"/>
      <c r="H1992" s="12"/>
      <c r="I1992" s="13">
        <v>0</v>
      </c>
      <c r="J1992" s="13">
        <v>0</v>
      </c>
      <c r="K1992" s="14" t="str">
        <f>HYPERLINK("http://twitter.com/download/iphone","Twitter for iPhone")</f>
        <v>Twitter for iPhone</v>
      </c>
      <c r="L1992" s="13">
        <v>837</v>
      </c>
      <c r="M1992" s="13">
        <v>1017</v>
      </c>
      <c r="N1992" s="13">
        <v>17</v>
      </c>
      <c r="O1992" s="15"/>
      <c r="P1992" s="6">
        <v>42241.614548611113</v>
      </c>
      <c r="Q1992" s="12"/>
      <c r="R1992" s="18" t="s">
        <v>2688</v>
      </c>
      <c r="S1992" s="12"/>
      <c r="T1992" s="12"/>
      <c r="U1992" s="10" t="str">
        <f>HYPERLINK("https://pbs.twimg.com/profile_images/636159808249446400/2J9thX4B.jpg","View")</f>
        <v>View</v>
      </c>
    </row>
    <row r="1993" spans="1:21" ht="20.399999999999999">
      <c r="A1993" s="6">
        <v>43426.706273148149</v>
      </c>
      <c r="B1993" s="7" t="str">
        <f>HYPERLINK("https://twitter.com/Leo82mtz","@Leo82mtz")</f>
        <v>@Leo82mtz</v>
      </c>
      <c r="C1993" s="8" t="s">
        <v>7253</v>
      </c>
      <c r="D1993" s="9" t="s">
        <v>6181</v>
      </c>
      <c r="E1993" s="10" t="str">
        <f>HYPERLINK("https://twitter.com/Leo82mtz/status/1065635272145068032","1065635272145068032")</f>
        <v>1065635272145068032</v>
      </c>
      <c r="F1993" s="11" t="s">
        <v>7254</v>
      </c>
      <c r="G1993" s="12"/>
      <c r="H1993" s="12"/>
      <c r="I1993" s="13">
        <v>0</v>
      </c>
      <c r="J1993" s="13">
        <v>0</v>
      </c>
      <c r="K1993" s="14" t="str">
        <f>HYPERLINK("https://dlvrit.com/","dlvr.it")</f>
        <v>dlvr.it</v>
      </c>
      <c r="L1993" s="13">
        <v>3258</v>
      </c>
      <c r="M1993" s="13">
        <v>3454</v>
      </c>
      <c r="N1993" s="13">
        <v>18</v>
      </c>
      <c r="O1993" s="15"/>
      <c r="P1993" s="6">
        <v>42391.793252314819</v>
      </c>
      <c r="Q1993" s="17" t="s">
        <v>40</v>
      </c>
      <c r="R1993" s="18" t="s">
        <v>7255</v>
      </c>
      <c r="S1993" s="12"/>
      <c r="T1993" s="12"/>
      <c r="U1993" s="10" t="str">
        <f>HYPERLINK("https://pbs.twimg.com/profile_images/690598031238893568/3ougnJa4.jpg","View")</f>
        <v>View</v>
      </c>
    </row>
    <row r="1994" spans="1:21" ht="30.6">
      <c r="A1994" s="6">
        <v>43426.706030092595</v>
      </c>
      <c r="B1994" s="7" t="str">
        <f>HYPERLINK("https://twitter.com/RcasadoRoberto","@RcasadoRoberto")</f>
        <v>@RcasadoRoberto</v>
      </c>
      <c r="C1994" s="8" t="s">
        <v>7257</v>
      </c>
      <c r="D1994" s="9" t="s">
        <v>7258</v>
      </c>
      <c r="E1994" s="10" t="str">
        <f>HYPERLINK("https://twitter.com/RcasadoRoberto/status/1065635187709616291","1065635187709616291")</f>
        <v>1065635187709616291</v>
      </c>
      <c r="F1994" s="11" t="s">
        <v>7256</v>
      </c>
      <c r="G1994" s="12"/>
      <c r="H1994" s="12"/>
      <c r="I1994" s="13">
        <v>1</v>
      </c>
      <c r="J1994" s="13">
        <v>0</v>
      </c>
      <c r="K1994" s="14" t="str">
        <f>HYPERLINK("http://twitter.com","Twitter Web Client")</f>
        <v>Twitter Web Client</v>
      </c>
      <c r="L1994" s="13">
        <v>1186</v>
      </c>
      <c r="M1994" s="13">
        <v>140</v>
      </c>
      <c r="N1994" s="13">
        <v>55</v>
      </c>
      <c r="O1994" s="15"/>
      <c r="P1994" s="6">
        <v>40993.768437500003</v>
      </c>
      <c r="Q1994" s="12"/>
      <c r="R1994" s="18" t="s">
        <v>7259</v>
      </c>
      <c r="S1994" s="12"/>
      <c r="T1994" s="12"/>
      <c r="U1994" s="10" t="str">
        <f>HYPERLINK("https://pbs.twimg.com/profile_images/908681293151576064/v7V9fAZa.jpg","View")</f>
        <v>View</v>
      </c>
    </row>
    <row r="1995" spans="1:21" ht="40.799999999999997">
      <c r="A1995" s="6">
        <v>43426.706030092595</v>
      </c>
      <c r="B1995" s="7" t="str">
        <f>HYPERLINK("https://twitter.com/Infotwett","@Infotwett")</f>
        <v>@Infotwett</v>
      </c>
      <c r="C1995" s="8" t="s">
        <v>7260</v>
      </c>
      <c r="D1995" s="9" t="s">
        <v>7261</v>
      </c>
      <c r="E1995" s="10" t="str">
        <f>HYPERLINK("https://twitter.com/Infotwett/status/1065635183808954368","1065635183808954368")</f>
        <v>1065635183808954368</v>
      </c>
      <c r="F1995" s="11" t="s">
        <v>7262</v>
      </c>
      <c r="G1995" s="12"/>
      <c r="H1995" s="12"/>
      <c r="I1995" s="13">
        <v>0</v>
      </c>
      <c r="J1995" s="13">
        <v>0</v>
      </c>
      <c r="K1995" s="14" t="str">
        <f>HYPERLINK("https://ifttt.com","IFTTT")</f>
        <v>IFTTT</v>
      </c>
      <c r="L1995" s="13">
        <v>2006</v>
      </c>
      <c r="M1995" s="13">
        <v>1152</v>
      </c>
      <c r="N1995" s="13">
        <v>78</v>
      </c>
      <c r="O1995" s="15"/>
      <c r="P1995" s="6">
        <v>40457.109594907408</v>
      </c>
      <c r="Q1995" s="17" t="s">
        <v>239</v>
      </c>
      <c r="R1995" s="18" t="s">
        <v>7263</v>
      </c>
      <c r="S1995" s="12"/>
      <c r="T1995" s="12"/>
      <c r="U1995" s="10" t="str">
        <f>HYPERLINK("https://pbs.twimg.com/profile_images/1800110605/INFOTWETT2.png","View")</f>
        <v>View</v>
      </c>
    </row>
    <row r="1996" spans="1:21" ht="30.6">
      <c r="A1996" s="6">
        <v>43426.705254629633</v>
      </c>
      <c r="B1996" s="7" t="str">
        <f>HYPERLINK("https://twitter.com/LVetrinbajo","@LVetrinbajo")</f>
        <v>@LVetrinbajo</v>
      </c>
      <c r="C1996" s="8" t="s">
        <v>4545</v>
      </c>
      <c r="D1996" s="9" t="s">
        <v>7264</v>
      </c>
      <c r="E1996" s="10" t="str">
        <f>HYPERLINK("https://twitter.com/LVetrinbajo/status/1065634903587471360","1065634903587471360")</f>
        <v>1065634903587471360</v>
      </c>
      <c r="F1996" s="11" t="s">
        <v>7265</v>
      </c>
      <c r="G1996" s="12"/>
      <c r="H1996" s="12"/>
      <c r="I1996" s="13">
        <v>1</v>
      </c>
      <c r="J1996" s="13">
        <v>1</v>
      </c>
      <c r="K1996" s="14" t="str">
        <f t="shared" ref="K1996:K1997" si="332">HYPERLINK("http://twitter.com/download/iphone","Twitter for iPhone")</f>
        <v>Twitter for iPhone</v>
      </c>
      <c r="L1996" s="13">
        <v>830</v>
      </c>
      <c r="M1996" s="13">
        <v>1867</v>
      </c>
      <c r="N1996" s="13">
        <v>7</v>
      </c>
      <c r="O1996" s="15"/>
      <c r="P1996" s="6">
        <v>43091.966851851852</v>
      </c>
      <c r="Q1996" s="17" t="s">
        <v>6553</v>
      </c>
      <c r="R1996" s="18" t="s">
        <v>6554</v>
      </c>
      <c r="S1996" s="12"/>
      <c r="T1996" s="12"/>
      <c r="U1996" s="10" t="str">
        <f>HYPERLINK("https://pbs.twimg.com/profile_images/1002927443542528001/Ye4GwF3U.jpg","View")</f>
        <v>View</v>
      </c>
    </row>
    <row r="1997" spans="1:21" ht="51">
      <c r="A1997" s="6">
        <v>43426.705185185187</v>
      </c>
      <c r="B1997" s="7" t="str">
        <f>HYPERLINK("https://twitter.com/_Raquel_Morales","@_Raquel_Morales")</f>
        <v>@_Raquel_Morales</v>
      </c>
      <c r="C1997" s="8" t="s">
        <v>7266</v>
      </c>
      <c r="D1997" s="9" t="s">
        <v>7267</v>
      </c>
      <c r="E1997" s="10" t="str">
        <f>HYPERLINK("https://twitter.com/_Raquel_Morales/status/1065634879419965441","1065634879419965441")</f>
        <v>1065634879419965441</v>
      </c>
      <c r="F1997" s="11" t="s">
        <v>7268</v>
      </c>
      <c r="G1997" s="12"/>
      <c r="H1997" s="12"/>
      <c r="I1997" s="13">
        <v>2</v>
      </c>
      <c r="J1997" s="13">
        <v>1</v>
      </c>
      <c r="K1997" s="14" t="str">
        <f t="shared" si="332"/>
        <v>Twitter for iPhone</v>
      </c>
      <c r="L1997" s="13">
        <v>3108</v>
      </c>
      <c r="M1997" s="13">
        <v>794</v>
      </c>
      <c r="N1997" s="13">
        <v>37</v>
      </c>
      <c r="O1997" s="16" t="s">
        <v>26</v>
      </c>
      <c r="P1997" s="6">
        <v>41255.116111111114</v>
      </c>
      <c r="Q1997" s="17" t="s">
        <v>7269</v>
      </c>
      <c r="R1997" s="18" t="s">
        <v>7270</v>
      </c>
      <c r="S1997" s="11" t="s">
        <v>169</v>
      </c>
      <c r="T1997" s="12"/>
      <c r="U1997" s="10" t="str">
        <f>HYPERLINK("https://pbs.twimg.com/profile_images/936377512833273856/BhUTMSkq.jpg","View")</f>
        <v>View</v>
      </c>
    </row>
    <row r="1998" spans="1:21" ht="40.799999999999997">
      <c r="A1998" s="6">
        <v>43426.704976851848</v>
      </c>
      <c r="B1998" s="7" t="str">
        <f>HYPERLINK("https://twitter.com/HoyMismoTSI","@HoyMismoTSI")</f>
        <v>@HoyMismoTSI</v>
      </c>
      <c r="C1998" s="8" t="s">
        <v>7271</v>
      </c>
      <c r="D1998" s="9" t="s">
        <v>7272</v>
      </c>
      <c r="E1998" s="10" t="str">
        <f>HYPERLINK("https://twitter.com/HoyMismoTSI/status/1065634802705940480","1065634802705940480")</f>
        <v>1065634802705940480</v>
      </c>
      <c r="F1998" s="12"/>
      <c r="G1998" s="11" t="s">
        <v>7273</v>
      </c>
      <c r="H1998" s="12"/>
      <c r="I1998" s="13">
        <v>0</v>
      </c>
      <c r="J1998" s="13">
        <v>1</v>
      </c>
      <c r="K1998" s="14" t="str">
        <f>HYPERLINK("https://www.hootsuite.com","Hootsuite Inc.")</f>
        <v>Hootsuite Inc.</v>
      </c>
      <c r="L1998" s="13">
        <v>19963</v>
      </c>
      <c r="M1998" s="13">
        <v>773</v>
      </c>
      <c r="N1998" s="13">
        <v>93</v>
      </c>
      <c r="O1998" s="15"/>
      <c r="P1998" s="6">
        <v>42968.110555555555</v>
      </c>
      <c r="Q1998" s="17" t="s">
        <v>1603</v>
      </c>
      <c r="R1998" s="18" t="s">
        <v>7274</v>
      </c>
      <c r="S1998" s="11" t="s">
        <v>7275</v>
      </c>
      <c r="T1998" s="12"/>
      <c r="U1998" s="10" t="str">
        <f>HYPERLINK("https://pbs.twimg.com/profile_images/1046632033357885441/56TfpxFU.jpg","View")</f>
        <v>View</v>
      </c>
    </row>
    <row r="1999" spans="1:21" ht="51">
      <c r="A1999" s="6">
        <v>43426.704884259263</v>
      </c>
      <c r="B1999" s="7" t="str">
        <f>HYPERLINK("https://twitter.com/eltivipata","@eltivipata")</f>
        <v>@eltivipata</v>
      </c>
      <c r="C1999" s="8" t="s">
        <v>5348</v>
      </c>
      <c r="D1999" s="9" t="s">
        <v>7276</v>
      </c>
      <c r="E1999" s="10" t="str">
        <f>HYPERLINK("https://twitter.com/eltivipata/status/1065634771353653250","1065634771353653250")</f>
        <v>1065634771353653250</v>
      </c>
      <c r="F1999" s="12"/>
      <c r="G1999" s="12"/>
      <c r="H1999" s="12"/>
      <c r="I1999" s="13">
        <v>86</v>
      </c>
      <c r="J1999" s="13">
        <v>181</v>
      </c>
      <c r="K1999" s="14" t="str">
        <f>HYPERLINK("http://twitter.com","Twitter Web Client")</f>
        <v>Twitter Web Client</v>
      </c>
      <c r="L1999" s="13">
        <v>17277</v>
      </c>
      <c r="M1999" s="13">
        <v>826</v>
      </c>
      <c r="N1999" s="13">
        <v>196</v>
      </c>
      <c r="O1999" s="15"/>
      <c r="P1999" s="6">
        <v>42036.876319444447</v>
      </c>
      <c r="Q1999" s="12"/>
      <c r="R1999" s="18" t="s">
        <v>5350</v>
      </c>
      <c r="S1999" s="11" t="s">
        <v>5351</v>
      </c>
      <c r="T1999" s="12"/>
      <c r="U1999" s="10" t="str">
        <f>HYPERLINK("https://pbs.twimg.com/profile_images/1023674286723289088/Po12eeSC.jpg","View")</f>
        <v>View</v>
      </c>
    </row>
    <row r="2000" spans="1:21" ht="30.6">
      <c r="A2000" s="6">
        <v>43426.704351851848</v>
      </c>
      <c r="B2000" s="7" t="str">
        <f>HYPERLINK("https://twitter.com/clarapruni","@clarapruni")</f>
        <v>@clarapruni</v>
      </c>
      <c r="C2000" s="8" t="s">
        <v>7277</v>
      </c>
      <c r="D2000" s="9" t="s">
        <v>7278</v>
      </c>
      <c r="E2000" s="10" t="str">
        <f>HYPERLINK("https://twitter.com/clarapruni/status/1065634578516316160","1065634578516316160")</f>
        <v>1065634578516316160</v>
      </c>
      <c r="F2000" s="11" t="s">
        <v>6346</v>
      </c>
      <c r="G2000" s="12"/>
      <c r="H2000" s="12"/>
      <c r="I2000" s="13">
        <v>0</v>
      </c>
      <c r="J2000" s="13">
        <v>1</v>
      </c>
      <c r="K2000" s="14" t="str">
        <f>HYPERLINK("http://twitter.com/download/iphone","Twitter for iPhone")</f>
        <v>Twitter for iPhone</v>
      </c>
      <c r="L2000" s="13">
        <v>550</v>
      </c>
      <c r="M2000" s="13">
        <v>1509</v>
      </c>
      <c r="N2000" s="13">
        <v>6</v>
      </c>
      <c r="O2000" s="15"/>
      <c r="P2000" s="6">
        <v>41401.049513888887</v>
      </c>
      <c r="Q2000" s="17" t="s">
        <v>7279</v>
      </c>
      <c r="R2000" s="18" t="s">
        <v>7280</v>
      </c>
      <c r="S2000" s="12"/>
      <c r="T2000" s="12"/>
      <c r="U2000" s="10" t="str">
        <f>HYPERLINK("https://pbs.twimg.com/profile_images/1065737918004805632/IzbPPtfY.jpg","View")</f>
        <v>View</v>
      </c>
    </row>
    <row r="2001" spans="1:21" ht="20.399999999999999">
      <c r="A2001" s="6">
        <v>43426.704259259262</v>
      </c>
      <c r="B2001" s="7" t="str">
        <f>HYPERLINK("https://twitter.com/CesarNoelAlvare","@CesarNoelAlvare")</f>
        <v>@CesarNoelAlvare</v>
      </c>
      <c r="C2001" s="8" t="s">
        <v>7281</v>
      </c>
      <c r="D2001" s="9" t="s">
        <v>2621</v>
      </c>
      <c r="E2001" s="10" t="str">
        <f>HYPERLINK("https://twitter.com/CesarNoelAlvare/status/1065634543527493635","1065634543527493635")</f>
        <v>1065634543527493635</v>
      </c>
      <c r="F2001" s="11" t="s">
        <v>6346</v>
      </c>
      <c r="G2001" s="12"/>
      <c r="H2001" s="12"/>
      <c r="I2001" s="13">
        <v>0</v>
      </c>
      <c r="J2001" s="13">
        <v>0</v>
      </c>
      <c r="K2001" s="14" t="str">
        <f>HYPERLINK("http://twitter.com/download/android","Twitter for Android")</f>
        <v>Twitter for Android</v>
      </c>
      <c r="L2001" s="13">
        <v>441</v>
      </c>
      <c r="M2001" s="13">
        <v>1883</v>
      </c>
      <c r="N2001" s="13">
        <v>4</v>
      </c>
      <c r="O2001" s="15"/>
      <c r="P2001" s="6">
        <v>41132.66611111111</v>
      </c>
      <c r="Q2001" s="12"/>
      <c r="R2001" s="18" t="s">
        <v>7282</v>
      </c>
      <c r="S2001" s="12"/>
      <c r="T2001" s="12"/>
      <c r="U2001" s="10" t="str">
        <f>HYPERLINK("https://pbs.twimg.com/profile_images/1061958919000674304/gDDGeTdq.jpg","View")</f>
        <v>View</v>
      </c>
    </row>
    <row r="2002" spans="1:21" ht="30.6">
      <c r="A2002" s="6">
        <v>43426.703831018516</v>
      </c>
      <c r="B2002" s="7" t="str">
        <f>HYPERLINK("https://twitter.com/Dama_Cristal","@Dama_Cristal")</f>
        <v>@Dama_Cristal</v>
      </c>
      <c r="C2002" s="8" t="s">
        <v>6212</v>
      </c>
      <c r="D2002" s="9" t="s">
        <v>7283</v>
      </c>
      <c r="E2002" s="10" t="str">
        <f>HYPERLINK("https://twitter.com/Dama_Cristal/status/1065634390112387074","1065634390112387074")</f>
        <v>1065634390112387074</v>
      </c>
      <c r="F2002" s="11" t="s">
        <v>6718</v>
      </c>
      <c r="G2002" s="12"/>
      <c r="H2002" s="12"/>
      <c r="I2002" s="13">
        <v>0</v>
      </c>
      <c r="J2002" s="13">
        <v>0</v>
      </c>
      <c r="K2002" s="14" t="str">
        <f>HYPERLINK("http://twitter.com","Twitter Web Client")</f>
        <v>Twitter Web Client</v>
      </c>
      <c r="L2002" s="13">
        <v>3927</v>
      </c>
      <c r="M2002" s="13">
        <v>1145</v>
      </c>
      <c r="N2002" s="13">
        <v>113</v>
      </c>
      <c r="O2002" s="15"/>
      <c r="P2002" s="6">
        <v>40055.963437500002</v>
      </c>
      <c r="Q2002" s="17" t="s">
        <v>1970</v>
      </c>
      <c r="R2002" s="18" t="s">
        <v>6213</v>
      </c>
      <c r="S2002" s="11" t="s">
        <v>6214</v>
      </c>
      <c r="T2002" s="12"/>
      <c r="U2002" s="10" t="str">
        <f>HYPERLINK("https://pbs.twimg.com/profile_images/1063871379488063489/2qf35eY7.jpg","View")</f>
        <v>View</v>
      </c>
    </row>
    <row r="2003" spans="1:21" ht="40.799999999999997">
      <c r="A2003" s="6">
        <v>43426.703819444447</v>
      </c>
      <c r="B2003" s="7" t="str">
        <f>HYPERLINK("https://twitter.com/miguel_a_yanez","@miguel_a_yanez")</f>
        <v>@miguel_a_yanez</v>
      </c>
      <c r="C2003" s="8" t="s">
        <v>7284</v>
      </c>
      <c r="D2003" s="9" t="s">
        <v>6345</v>
      </c>
      <c r="E2003" s="10" t="str">
        <f>HYPERLINK("https://twitter.com/miguel_a_yanez/status/1065634386010431490","1065634386010431490")</f>
        <v>1065634386010431490</v>
      </c>
      <c r="F2003" s="11" t="s">
        <v>6346</v>
      </c>
      <c r="G2003" s="12"/>
      <c r="H2003" s="12"/>
      <c r="I2003" s="13">
        <v>0</v>
      </c>
      <c r="J2003" s="13">
        <v>1</v>
      </c>
      <c r="K2003" s="14" t="str">
        <f>HYPERLINK("http://twitter.com/download/iphone","Twitter for iPhone")</f>
        <v>Twitter for iPhone</v>
      </c>
      <c r="L2003" s="13">
        <v>3130</v>
      </c>
      <c r="M2003" s="13">
        <v>3123</v>
      </c>
      <c r="N2003" s="13">
        <v>72</v>
      </c>
      <c r="O2003" s="15"/>
      <c r="P2003" s="6">
        <v>40825.930891203701</v>
      </c>
      <c r="Q2003" s="12"/>
      <c r="R2003" s="18" t="s">
        <v>7285</v>
      </c>
      <c r="S2003" s="12"/>
      <c r="T2003" s="12"/>
      <c r="U2003" s="10" t="str">
        <f>HYPERLINK("https://pbs.twimg.com/profile_images/943919034982109184/pzU4SD4g.jpg","View")</f>
        <v>View</v>
      </c>
    </row>
    <row r="2004" spans="1:21" ht="40.799999999999997">
      <c r="A2004" s="6">
        <v>43426.703541666662</v>
      </c>
      <c r="B2004" s="7" t="str">
        <f>HYPERLINK("https://twitter.com/habana_radio_cu","@habana_radio_cu")</f>
        <v>@habana_radio_cu</v>
      </c>
      <c r="C2004" s="8" t="s">
        <v>4054</v>
      </c>
      <c r="D2004" s="9" t="s">
        <v>7286</v>
      </c>
      <c r="E2004" s="10" t="str">
        <f>HYPERLINK("https://twitter.com/habana_radio_cu/status/1065634283367337985","1065634283367337985")</f>
        <v>1065634283367337985</v>
      </c>
      <c r="F2004" s="11" t="s">
        <v>7287</v>
      </c>
      <c r="G2004" s="12"/>
      <c r="H2004" s="12"/>
      <c r="I2004" s="13">
        <v>1</v>
      </c>
      <c r="J2004" s="13">
        <v>1</v>
      </c>
      <c r="K2004" s="14" t="str">
        <f>HYPERLINK("http://www.facebook.com/twitter","Facebook")</f>
        <v>Facebook</v>
      </c>
      <c r="L2004" s="13">
        <v>71</v>
      </c>
      <c r="M2004" s="13">
        <v>183</v>
      </c>
      <c r="N2004" s="13">
        <v>1</v>
      </c>
      <c r="O2004" s="15"/>
      <c r="P2004" s="6">
        <v>43077.952337962968</v>
      </c>
      <c r="Q2004" s="17" t="s">
        <v>40</v>
      </c>
      <c r="R2004" s="19"/>
      <c r="S2004" s="11" t="s">
        <v>4057</v>
      </c>
      <c r="T2004" s="12"/>
      <c r="U2004" s="10" t="str">
        <f>HYPERLINK("https://pbs.twimg.com/profile_images/939253333448990720/r2CjBO_z.jpg","View")</f>
        <v>View</v>
      </c>
    </row>
    <row r="2005" spans="1:21" ht="30.6">
      <c r="A2005" s="6">
        <v>43426.702789351853</v>
      </c>
      <c r="B2005" s="7" t="str">
        <f>HYPERLINK("https://twitter.com/AntSeb","@AntSeb")</f>
        <v>@AntSeb</v>
      </c>
      <c r="C2005" s="8" t="s">
        <v>7288</v>
      </c>
      <c r="D2005" s="9" t="s">
        <v>2091</v>
      </c>
      <c r="E2005" s="10" t="str">
        <f>HYPERLINK("https://twitter.com/AntSeb/status/1065634011169603585","1065634011169603585")</f>
        <v>1065634011169603585</v>
      </c>
      <c r="F2005" s="11" t="s">
        <v>2092</v>
      </c>
      <c r="G2005" s="12"/>
      <c r="H2005" s="12"/>
      <c r="I2005" s="13">
        <v>0</v>
      </c>
      <c r="J2005" s="13">
        <v>0</v>
      </c>
      <c r="K2005" s="14" t="str">
        <f t="shared" ref="K2005:K2006" si="333">HYPERLINK("http://twitter.com","Twitter Web Client")</f>
        <v>Twitter Web Client</v>
      </c>
      <c r="L2005" s="13">
        <v>56</v>
      </c>
      <c r="M2005" s="13">
        <v>69</v>
      </c>
      <c r="N2005" s="13">
        <v>1</v>
      </c>
      <c r="O2005" s="15"/>
      <c r="P2005" s="6">
        <v>41025.952499999999</v>
      </c>
      <c r="Q2005" s="17" t="s">
        <v>202</v>
      </c>
      <c r="R2005" s="18" t="s">
        <v>7289</v>
      </c>
      <c r="S2005" s="11" t="s">
        <v>7290</v>
      </c>
      <c r="T2005" s="12"/>
      <c r="U2005" s="10" t="str">
        <f>HYPERLINK("https://pbs.twimg.com/profile_images/2170297140/__.jpg","View")</f>
        <v>View</v>
      </c>
    </row>
    <row r="2006" spans="1:21" ht="30.6">
      <c r="A2006" s="6">
        <v>43426.702719907407</v>
      </c>
      <c r="B2006" s="7" t="str">
        <f>HYPERLINK("https://twitter.com/elEconomistaes","@elEconomistaes")</f>
        <v>@elEconomistaes</v>
      </c>
      <c r="C2006" s="20" t="s">
        <v>3024</v>
      </c>
      <c r="D2006" s="9" t="s">
        <v>7291</v>
      </c>
      <c r="E2006" s="10" t="str">
        <f>HYPERLINK("https://twitter.com/elEconomistaes/status/1065633986012225536","1065633986012225536")</f>
        <v>1065633986012225536</v>
      </c>
      <c r="F2006" s="11" t="s">
        <v>7292</v>
      </c>
      <c r="G2006" s="12"/>
      <c r="H2006" s="12"/>
      <c r="I2006" s="13">
        <v>7</v>
      </c>
      <c r="J2006" s="13">
        <v>4</v>
      </c>
      <c r="K2006" s="14" t="str">
        <f t="shared" si="333"/>
        <v>Twitter Web Client</v>
      </c>
      <c r="L2006" s="13">
        <v>655205</v>
      </c>
      <c r="M2006" s="13">
        <v>369</v>
      </c>
      <c r="N2006" s="13">
        <v>8755</v>
      </c>
      <c r="O2006" s="16" t="s">
        <v>26</v>
      </c>
      <c r="P2006" s="6">
        <v>40373.48164351852</v>
      </c>
      <c r="Q2006" s="12"/>
      <c r="R2006" s="18" t="s">
        <v>3027</v>
      </c>
      <c r="S2006" s="11" t="s">
        <v>3028</v>
      </c>
      <c r="T2006" s="12"/>
      <c r="U2006" s="10" t="str">
        <f>HYPERLINK("https://pbs.twimg.com/profile_images/899527230833012736/uMjGoE60.jpg","View")</f>
        <v>View</v>
      </c>
    </row>
    <row r="2007" spans="1:21" ht="51">
      <c r="A2007" s="6">
        <v>43426.702002314814</v>
      </c>
      <c r="B2007" s="7" t="str">
        <f>HYPERLINK("https://twitter.com/AlbertoSBlanco","@AlbertoSBlanco")</f>
        <v>@AlbertoSBlanco</v>
      </c>
      <c r="C2007" s="8" t="s">
        <v>2680</v>
      </c>
      <c r="D2007" s="9" t="s">
        <v>7293</v>
      </c>
      <c r="E2007" s="10" t="str">
        <f>HYPERLINK("https://twitter.com/AlbertoSBlanco/status/1065633727257210881","1065633727257210881")</f>
        <v>1065633727257210881</v>
      </c>
      <c r="F2007" s="11" t="s">
        <v>7294</v>
      </c>
      <c r="G2007" s="12"/>
      <c r="H2007" s="12"/>
      <c r="I2007" s="13">
        <v>1</v>
      </c>
      <c r="J2007" s="13">
        <v>1</v>
      </c>
      <c r="K2007" s="14" t="str">
        <f>HYPERLINK("http://twitter.com/download/android","Twitter for Android")</f>
        <v>Twitter for Android</v>
      </c>
      <c r="L2007" s="13">
        <v>2675</v>
      </c>
      <c r="M2007" s="13">
        <v>3145</v>
      </c>
      <c r="N2007" s="13">
        <v>32</v>
      </c>
      <c r="O2007" s="15"/>
      <c r="P2007" s="6">
        <v>40747.720636574071</v>
      </c>
      <c r="Q2007" s="12"/>
      <c r="R2007" s="18" t="s">
        <v>2682</v>
      </c>
      <c r="S2007" s="11" t="s">
        <v>2683</v>
      </c>
      <c r="T2007" s="12"/>
      <c r="U2007" s="10" t="str">
        <f>HYPERLINK("https://pbs.twimg.com/profile_images/966330983829135360/yRqQ0NN1.jpg","View")</f>
        <v>View</v>
      </c>
    </row>
    <row r="2008" spans="1:21" ht="20.399999999999999">
      <c r="A2008" s="6">
        <v>43426.701747685191</v>
      </c>
      <c r="B2008" s="7" t="str">
        <f>HYPERLINK("https://twitter.com/mathusal9","@mathusal9")</f>
        <v>@mathusal9</v>
      </c>
      <c r="C2008" s="8" t="s">
        <v>3363</v>
      </c>
      <c r="D2008" s="9" t="s">
        <v>3386</v>
      </c>
      <c r="E2008" s="10" t="str">
        <f>HYPERLINK("https://twitter.com/mathusal9/status/1065633633883615233","1065633633883615233")</f>
        <v>1065633633883615233</v>
      </c>
      <c r="F2008" s="11" t="s">
        <v>3387</v>
      </c>
      <c r="G2008" s="12"/>
      <c r="H2008" s="12"/>
      <c r="I2008" s="13">
        <v>1</v>
      </c>
      <c r="J2008" s="13">
        <v>0</v>
      </c>
      <c r="K2008" s="14" t="str">
        <f>HYPERLINK("http://twitter.com","Twitter Web Client")</f>
        <v>Twitter Web Client</v>
      </c>
      <c r="L2008" s="13">
        <v>692</v>
      </c>
      <c r="M2008" s="13">
        <v>1747</v>
      </c>
      <c r="N2008" s="13">
        <v>3</v>
      </c>
      <c r="O2008" s="15"/>
      <c r="P2008" s="6">
        <v>43049.798819444448</v>
      </c>
      <c r="Q2008" s="17" t="s">
        <v>619</v>
      </c>
      <c r="R2008" s="18" t="s">
        <v>3364</v>
      </c>
      <c r="S2008" s="12"/>
      <c r="T2008" s="12"/>
      <c r="U2008" s="10" t="str">
        <f>HYPERLINK("https://pbs.twimg.com/profile_images/936494587761385472/4QRLIAtv.jpg","View")</f>
        <v>View</v>
      </c>
    </row>
    <row r="2009" spans="1:21" ht="51">
      <c r="A2009" s="6">
        <v>43426.701354166667</v>
      </c>
      <c r="B2009" s="7" t="str">
        <f>HYPERLINK("https://twitter.com/vchacont","@vchacont")</f>
        <v>@vchacont</v>
      </c>
      <c r="C2009" s="8" t="s">
        <v>7295</v>
      </c>
      <c r="D2009" s="9" t="s">
        <v>7296</v>
      </c>
      <c r="E2009" s="10" t="str">
        <f>HYPERLINK("https://twitter.com/vchacont/status/1065633492619460608","1065633492619460608")</f>
        <v>1065633492619460608</v>
      </c>
      <c r="F2009" s="11" t="s">
        <v>7297</v>
      </c>
      <c r="G2009" s="12"/>
      <c r="H2009" s="12"/>
      <c r="I2009" s="13">
        <v>6</v>
      </c>
      <c r="J2009" s="13">
        <v>6</v>
      </c>
      <c r="K2009" s="14" t="str">
        <f>HYPERLINK("http://twitter.com/download/android","Twitter for Android")</f>
        <v>Twitter for Android</v>
      </c>
      <c r="L2009" s="13">
        <v>1418</v>
      </c>
      <c r="M2009" s="13">
        <v>2178</v>
      </c>
      <c r="N2009" s="13">
        <v>29</v>
      </c>
      <c r="O2009" s="15"/>
      <c r="P2009" s="6">
        <v>40149.665138888886</v>
      </c>
      <c r="Q2009" s="17" t="s">
        <v>3884</v>
      </c>
      <c r="R2009" s="18" t="s">
        <v>7298</v>
      </c>
      <c r="S2009" s="12"/>
      <c r="T2009" s="12"/>
      <c r="U2009" s="10" t="str">
        <f>HYPERLINK("https://pbs.twimg.com/profile_images/1001922301053501441/PJhHw6qJ.jpg","View")</f>
        <v>View</v>
      </c>
    </row>
    <row r="2010" spans="1:21" ht="40.799999999999997">
      <c r="A2010" s="6">
        <v>43426.701203703706</v>
      </c>
      <c r="B2010" s="7" t="str">
        <f>HYPERLINK("https://twitter.com/LaVanguardia","@LaVanguardia")</f>
        <v>@LaVanguardia</v>
      </c>
      <c r="C2010" s="8" t="s">
        <v>2907</v>
      </c>
      <c r="D2010" s="9" t="s">
        <v>7225</v>
      </c>
      <c r="E2010" s="10" t="str">
        <f>HYPERLINK("https://twitter.com/LaVanguardia/status/1065633434746437633","1065633434746437633")</f>
        <v>1065633434746437633</v>
      </c>
      <c r="F2010" s="11" t="s">
        <v>7226</v>
      </c>
      <c r="G2010" s="12"/>
      <c r="H2010" s="12"/>
      <c r="I2010" s="13">
        <v>3</v>
      </c>
      <c r="J2010" s="13">
        <v>1</v>
      </c>
      <c r="K2010" s="14" t="str">
        <f>HYPERLINK("http://www.lavanguardia.es","App publicación twits DGRID")</f>
        <v>App publicación twits DGRID</v>
      </c>
      <c r="L2010" s="13">
        <v>997178</v>
      </c>
      <c r="M2010" s="13">
        <v>523</v>
      </c>
      <c r="N2010" s="13">
        <v>12538</v>
      </c>
      <c r="O2010" s="16" t="s">
        <v>26</v>
      </c>
      <c r="P2010" s="6">
        <v>40071.664548611108</v>
      </c>
      <c r="Q2010" s="17" t="s">
        <v>191</v>
      </c>
      <c r="R2010" s="18" t="s">
        <v>2908</v>
      </c>
      <c r="S2010" s="11" t="s">
        <v>2909</v>
      </c>
      <c r="T2010" s="12"/>
      <c r="U2010" s="10" t="str">
        <f>HYPERLINK("https://pbs.twimg.com/profile_images/936873783721320448/6Q97S0pp.jpg","View")</f>
        <v>View</v>
      </c>
    </row>
    <row r="2011" spans="1:21" ht="20.399999999999999">
      <c r="A2011" s="6">
        <v>43426.701192129629</v>
      </c>
      <c r="B2011" s="7" t="str">
        <f>HYPERLINK("https://twitter.com/mathusal9","@mathusal9")</f>
        <v>@mathusal9</v>
      </c>
      <c r="C2011" s="8" t="s">
        <v>3363</v>
      </c>
      <c r="D2011" s="9" t="s">
        <v>7299</v>
      </c>
      <c r="E2011" s="10" t="str">
        <f>HYPERLINK("https://twitter.com/mathusal9/status/1065633430774390786","1065633430774390786")</f>
        <v>1065633430774390786</v>
      </c>
      <c r="F2011" s="11" t="s">
        <v>780</v>
      </c>
      <c r="G2011" s="12"/>
      <c r="H2011" s="12"/>
      <c r="I2011" s="13">
        <v>0</v>
      </c>
      <c r="J2011" s="13">
        <v>0</v>
      </c>
      <c r="K2011" s="14" t="str">
        <f>HYPERLINK("http://twitter.com","Twitter Web Client")</f>
        <v>Twitter Web Client</v>
      </c>
      <c r="L2011" s="13">
        <v>692</v>
      </c>
      <c r="M2011" s="13">
        <v>1747</v>
      </c>
      <c r="N2011" s="13">
        <v>3</v>
      </c>
      <c r="O2011" s="15"/>
      <c r="P2011" s="6">
        <v>43049.798819444448</v>
      </c>
      <c r="Q2011" s="17" t="s">
        <v>619</v>
      </c>
      <c r="R2011" s="18" t="s">
        <v>3364</v>
      </c>
      <c r="S2011" s="12"/>
      <c r="T2011" s="12"/>
      <c r="U2011" s="10" t="str">
        <f>HYPERLINK("https://pbs.twimg.com/profile_images/936494587761385472/4QRLIAtv.jpg","View")</f>
        <v>View</v>
      </c>
    </row>
    <row r="2012" spans="1:21" ht="51">
      <c r="A2012" s="6">
        <v>43426.699328703704</v>
      </c>
      <c r="B2012" s="7" t="str">
        <f>HYPERLINK("https://twitter.com/P_A_Bugallo","@P_A_Bugallo")</f>
        <v>@P_A_Bugallo</v>
      </c>
      <c r="C2012" s="8" t="s">
        <v>7300</v>
      </c>
      <c r="D2012" s="9" t="s">
        <v>7301</v>
      </c>
      <c r="E2012" s="10" t="str">
        <f>HYPERLINK("https://twitter.com/P_A_Bugallo/status/1065632757483745280","1065632757483745280")</f>
        <v>1065632757483745280</v>
      </c>
      <c r="F2012" s="12"/>
      <c r="G2012" s="11" t="s">
        <v>7302</v>
      </c>
      <c r="H2012" s="12"/>
      <c r="I2012" s="13">
        <v>1</v>
      </c>
      <c r="J2012" s="13">
        <v>1</v>
      </c>
      <c r="K2012" s="14" t="str">
        <f>HYPERLINK("http://twitter.com/download/iphone","Twitter for iPhone")</f>
        <v>Twitter for iPhone</v>
      </c>
      <c r="L2012" s="13">
        <v>37</v>
      </c>
      <c r="M2012" s="13">
        <v>30</v>
      </c>
      <c r="N2012" s="13">
        <v>0</v>
      </c>
      <c r="O2012" s="15"/>
      <c r="P2012" s="6">
        <v>43366.554270833338</v>
      </c>
      <c r="Q2012" s="17" t="s">
        <v>28</v>
      </c>
      <c r="R2012" s="18" t="s">
        <v>7303</v>
      </c>
      <c r="S2012" s="11" t="s">
        <v>7304</v>
      </c>
      <c r="T2012" s="12"/>
      <c r="U2012" s="10" t="str">
        <f>HYPERLINK("https://pbs.twimg.com/profile_images/1043831640508829696/mCCl1LNj.jpg","View")</f>
        <v>View</v>
      </c>
    </row>
    <row r="2013" spans="1:21" ht="30.6">
      <c r="A2013" s="6">
        <v>43426.699074074073</v>
      </c>
      <c r="B2013" s="7" t="str">
        <f>HYPERLINK("https://twitter.com/herrerillo","@herrerillo")</f>
        <v>@herrerillo</v>
      </c>
      <c r="C2013" s="8" t="s">
        <v>7305</v>
      </c>
      <c r="D2013" s="9" t="s">
        <v>640</v>
      </c>
      <c r="E2013" s="10" t="str">
        <f>HYPERLINK("https://twitter.com/herrerillo/status/1065632667125862401","1065632667125862401")</f>
        <v>1065632667125862401</v>
      </c>
      <c r="F2013" s="11" t="s">
        <v>641</v>
      </c>
      <c r="G2013" s="12"/>
      <c r="H2013" s="12"/>
      <c r="I2013" s="13">
        <v>0</v>
      </c>
      <c r="J2013" s="13">
        <v>0</v>
      </c>
      <c r="K2013" s="14" t="str">
        <f t="shared" ref="K2013:K2014" si="334">HYPERLINK("http://twitter.com","Twitter Web Client")</f>
        <v>Twitter Web Client</v>
      </c>
      <c r="L2013" s="13">
        <v>637</v>
      </c>
      <c r="M2013" s="13">
        <v>204</v>
      </c>
      <c r="N2013" s="13">
        <v>89</v>
      </c>
      <c r="O2013" s="15"/>
      <c r="P2013" s="6">
        <v>40530.559363425928</v>
      </c>
      <c r="Q2013" s="17" t="s">
        <v>7306</v>
      </c>
      <c r="R2013" s="18" t="s">
        <v>7307</v>
      </c>
      <c r="S2013" s="12"/>
      <c r="T2013" s="12"/>
      <c r="U2013" s="10" t="str">
        <f>HYPERLINK("https://pbs.twimg.com/profile_images/690431402311966720/FzUU9UB2.jpg","View")</f>
        <v>View</v>
      </c>
    </row>
    <row r="2014" spans="1:21" ht="40.799999999999997">
      <c r="A2014" s="6">
        <v>43426.697928240741</v>
      </c>
      <c r="B2014" s="7" t="str">
        <f>HYPERLINK("https://twitter.com/xucovic","@xucovic")</f>
        <v>@xucovic</v>
      </c>
      <c r="C2014" s="8" t="s">
        <v>3273</v>
      </c>
      <c r="D2014" s="9" t="s">
        <v>7308</v>
      </c>
      <c r="E2014" s="10" t="str">
        <f>HYPERLINK("https://twitter.com/xucovic/status/1065632251763978240","1065632251763978240")</f>
        <v>1065632251763978240</v>
      </c>
      <c r="F2014" s="11" t="s">
        <v>7309</v>
      </c>
      <c r="G2014" s="12"/>
      <c r="H2014" s="12"/>
      <c r="I2014" s="13">
        <v>0</v>
      </c>
      <c r="J2014" s="13">
        <v>0</v>
      </c>
      <c r="K2014" s="14" t="str">
        <f t="shared" si="334"/>
        <v>Twitter Web Client</v>
      </c>
      <c r="L2014" s="13">
        <v>165</v>
      </c>
      <c r="M2014" s="13">
        <v>231</v>
      </c>
      <c r="N2014" s="13">
        <v>3</v>
      </c>
      <c r="O2014" s="15"/>
      <c r="P2014" s="6">
        <v>41022.859849537039</v>
      </c>
      <c r="Q2014" s="17" t="s">
        <v>28</v>
      </c>
      <c r="R2014" s="18" t="s">
        <v>3276</v>
      </c>
      <c r="S2014" s="12"/>
      <c r="T2014" s="12"/>
      <c r="U2014" s="10" t="str">
        <f>HYPERLINK("https://pbs.twimg.com/profile_images/958297515895480321/oRN4o2zl.jpg","View")</f>
        <v>View</v>
      </c>
    </row>
    <row r="2015" spans="1:21" ht="40.799999999999997">
      <c r="A2015" s="6">
        <v>43426.697777777779</v>
      </c>
      <c r="B2015" s="7" t="str">
        <f>HYPERLINK("https://twitter.com/elmundoes","@elmundoes")</f>
        <v>@elmundoes</v>
      </c>
      <c r="C2015" s="8" t="s">
        <v>7310</v>
      </c>
      <c r="D2015" s="9" t="s">
        <v>7311</v>
      </c>
      <c r="E2015" s="10" t="str">
        <f>HYPERLINK("https://twitter.com/elmundoes/status/1065632195019243520","1065632195019243520")</f>
        <v>1065632195019243520</v>
      </c>
      <c r="F2015" s="11" t="s">
        <v>7312</v>
      </c>
      <c r="G2015" s="12"/>
      <c r="H2015" s="12"/>
      <c r="I2015" s="13">
        <v>28</v>
      </c>
      <c r="J2015" s="13">
        <v>16</v>
      </c>
      <c r="K2015" s="14" t="str">
        <f>HYPERLINK("http://www.socialflow.com","SocialFlow")</f>
        <v>SocialFlow</v>
      </c>
      <c r="L2015" s="13">
        <v>3190374</v>
      </c>
      <c r="M2015" s="13">
        <v>1355</v>
      </c>
      <c r="N2015" s="13">
        <v>29574</v>
      </c>
      <c r="O2015" s="16" t="s">
        <v>26</v>
      </c>
      <c r="P2015" s="6">
        <v>39556.853761574072</v>
      </c>
      <c r="Q2015" s="17" t="s">
        <v>28</v>
      </c>
      <c r="R2015" s="18" t="s">
        <v>7313</v>
      </c>
      <c r="S2015" s="11" t="s">
        <v>7314</v>
      </c>
      <c r="T2015" s="12"/>
      <c r="U2015" s="10" t="str">
        <f>HYPERLINK("https://pbs.twimg.com/profile_images/959947259780747265/ez18J78k.jpg","View")</f>
        <v>View</v>
      </c>
    </row>
    <row r="2016" spans="1:21" ht="30.6">
      <c r="A2016" s="6">
        <v>43426.696516203709</v>
      </c>
      <c r="B2016" s="7" t="str">
        <f>HYPERLINK("https://twitter.com/diariolaopinion","@diariolaopinion")</f>
        <v>@diariolaopinion</v>
      </c>
      <c r="C2016" s="8" t="s">
        <v>7315</v>
      </c>
      <c r="D2016" s="9" t="s">
        <v>7316</v>
      </c>
      <c r="E2016" s="10" t="str">
        <f>HYPERLINK("https://twitter.com/diariolaopinion/status/1065631739333263361","1065631739333263361")</f>
        <v>1065631739333263361</v>
      </c>
      <c r="F2016" s="11" t="s">
        <v>7317</v>
      </c>
      <c r="G2016" s="12"/>
      <c r="H2016" s="12"/>
      <c r="I2016" s="13">
        <v>0</v>
      </c>
      <c r="J2016" s="13">
        <v>0</v>
      </c>
      <c r="K2016" s="14" t="str">
        <f>HYPERLINK("http://twitter.com","Twitter Web Client")</f>
        <v>Twitter Web Client</v>
      </c>
      <c r="L2016" s="13">
        <v>119887</v>
      </c>
      <c r="M2016" s="13">
        <v>1379</v>
      </c>
      <c r="N2016" s="13">
        <v>943</v>
      </c>
      <c r="O2016" s="16" t="s">
        <v>26</v>
      </c>
      <c r="P2016" s="6">
        <v>40273.898692129631</v>
      </c>
      <c r="Q2016" s="17" t="s">
        <v>2827</v>
      </c>
      <c r="R2016" s="18" t="s">
        <v>7318</v>
      </c>
      <c r="S2016" s="11" t="s">
        <v>7319</v>
      </c>
      <c r="T2016" s="12"/>
      <c r="U2016" s="10" t="str">
        <f>HYPERLINK("https://pbs.twimg.com/profile_images/948983253708476416/8KUZQrUn.jpg","View")</f>
        <v>View</v>
      </c>
    </row>
    <row r="2017" spans="1:21" ht="30.6">
      <c r="A2017" s="6">
        <v>43426.696354166663</v>
      </c>
      <c r="B2017" s="7" t="str">
        <f>HYPERLINK("https://twitter.com/davo537","@davo537")</f>
        <v>@davo537</v>
      </c>
      <c r="C2017" s="8" t="s">
        <v>7320</v>
      </c>
      <c r="D2017" s="9" t="s">
        <v>7321</v>
      </c>
      <c r="E2017" s="10" t="str">
        <f>HYPERLINK("https://twitter.com/davo537/status/1065631677798645763","1065631677798645763")</f>
        <v>1065631677798645763</v>
      </c>
      <c r="F2017" s="12"/>
      <c r="G2017" s="11" t="s">
        <v>7322</v>
      </c>
      <c r="H2017" s="12"/>
      <c r="I2017" s="13">
        <v>28</v>
      </c>
      <c r="J2017" s="13">
        <v>46</v>
      </c>
      <c r="K2017" s="14" t="str">
        <f t="shared" ref="K2017:K2019" si="335">HYPERLINK("http://twitter.com/download/android","Twitter for Android")</f>
        <v>Twitter for Android</v>
      </c>
      <c r="L2017" s="13">
        <v>11234</v>
      </c>
      <c r="M2017" s="13">
        <v>664</v>
      </c>
      <c r="N2017" s="13">
        <v>114</v>
      </c>
      <c r="O2017" s="15"/>
      <c r="P2017" s="6">
        <v>40748.349120370374</v>
      </c>
      <c r="Q2017" s="17" t="s">
        <v>7323</v>
      </c>
      <c r="R2017" s="18" t="s">
        <v>7324</v>
      </c>
      <c r="S2017" s="12"/>
      <c r="T2017" s="12"/>
      <c r="U2017" s="10" t="str">
        <f>HYPERLINK("https://pbs.twimg.com/profile_images/770550123378122752/uj7Tp4bC.jpg","View")</f>
        <v>View</v>
      </c>
    </row>
    <row r="2018" spans="1:21" ht="40.799999999999997">
      <c r="A2018" s="6">
        <v>43426.696064814816</v>
      </c>
      <c r="B2018" s="7" t="str">
        <f>HYPERLINK("https://twitter.com/rafa_morata","@rafa_morata")</f>
        <v>@rafa_morata</v>
      </c>
      <c r="C2018" s="8" t="s">
        <v>7325</v>
      </c>
      <c r="D2018" s="9" t="s">
        <v>7326</v>
      </c>
      <c r="E2018" s="10" t="str">
        <f>HYPERLINK("https://twitter.com/rafa_morata/status/1065631575096864768","1065631575096864768")</f>
        <v>1065631575096864768</v>
      </c>
      <c r="F2018" s="11" t="s">
        <v>1787</v>
      </c>
      <c r="G2018" s="12"/>
      <c r="H2018" s="12"/>
      <c r="I2018" s="13">
        <v>3</v>
      </c>
      <c r="J2018" s="13">
        <v>2</v>
      </c>
      <c r="K2018" s="14" t="str">
        <f t="shared" si="335"/>
        <v>Twitter for Android</v>
      </c>
      <c r="L2018" s="13">
        <v>2920</v>
      </c>
      <c r="M2018" s="13">
        <v>3450</v>
      </c>
      <c r="N2018" s="13">
        <v>62</v>
      </c>
      <c r="O2018" s="15"/>
      <c r="P2018" s="6">
        <v>40580.739606481482</v>
      </c>
      <c r="Q2018" s="17" t="s">
        <v>1484</v>
      </c>
      <c r="R2018" s="18" t="s">
        <v>7327</v>
      </c>
      <c r="S2018" s="11" t="s">
        <v>7328</v>
      </c>
      <c r="T2018" s="12"/>
      <c r="U2018" s="10" t="str">
        <f>HYPERLINK("https://pbs.twimg.com/profile_images/1053296947627507712/53q_0tB9.jpg","View")</f>
        <v>View</v>
      </c>
    </row>
    <row r="2019" spans="1:21" ht="61.2">
      <c r="A2019" s="6">
        <v>43426.696018518516</v>
      </c>
      <c r="B2019" s="7" t="str">
        <f>HYPERLINK("https://twitter.com/Puigdemonty","@Puigdemonty")</f>
        <v>@Puigdemonty</v>
      </c>
      <c r="C2019" s="8" t="s">
        <v>7329</v>
      </c>
      <c r="D2019" s="9" t="s">
        <v>7330</v>
      </c>
      <c r="E2019" s="10" t="str">
        <f>HYPERLINK("https://twitter.com/Puigdemonty/status/1065631556662951937","1065631556662951937")</f>
        <v>1065631556662951937</v>
      </c>
      <c r="F2019" s="17" t="s">
        <v>5828</v>
      </c>
      <c r="G2019" s="11" t="s">
        <v>5829</v>
      </c>
      <c r="H2019" s="12"/>
      <c r="I2019" s="13">
        <v>0</v>
      </c>
      <c r="J2019" s="13">
        <v>1</v>
      </c>
      <c r="K2019" s="14" t="str">
        <f t="shared" si="335"/>
        <v>Twitter for Android</v>
      </c>
      <c r="L2019" s="13">
        <v>740</v>
      </c>
      <c r="M2019" s="13">
        <v>724</v>
      </c>
      <c r="N2019" s="13">
        <v>1</v>
      </c>
      <c r="O2019" s="15"/>
      <c r="P2019" s="6">
        <v>42984.711435185185</v>
      </c>
      <c r="Q2019" s="17" t="s">
        <v>1630</v>
      </c>
      <c r="R2019" s="18" t="s">
        <v>7331</v>
      </c>
      <c r="S2019" s="12"/>
      <c r="T2019" s="12"/>
      <c r="U2019" s="10" t="str">
        <f>HYPERLINK("https://pbs.twimg.com/profile_images/977462263752863745/cUNTZ4zn.jpg","View")</f>
        <v>View</v>
      </c>
    </row>
    <row r="2020" spans="1:21" ht="20.399999999999999">
      <c r="A2020" s="6">
        <v>43426.695902777778</v>
      </c>
      <c r="B2020" s="7" t="str">
        <f>HYPERLINK("https://twitter.com/PPZafra","@PPZafra")</f>
        <v>@PPZafra</v>
      </c>
      <c r="C2020" s="8" t="s">
        <v>7332</v>
      </c>
      <c r="D2020" s="9" t="s">
        <v>1143</v>
      </c>
      <c r="E2020" s="10" t="str">
        <f>HYPERLINK("https://twitter.com/PPZafra/status/1065631515395137537","1065631515395137537")</f>
        <v>1065631515395137537</v>
      </c>
      <c r="F2020" s="11" t="s">
        <v>7333</v>
      </c>
      <c r="G2020" s="12"/>
      <c r="H2020" s="12"/>
      <c r="I2020" s="13">
        <v>0</v>
      </c>
      <c r="J2020" s="13">
        <v>0</v>
      </c>
      <c r="K2020" s="14" t="str">
        <f>HYPERLINK("http://www.facebook.com/twitter","Facebook")</f>
        <v>Facebook</v>
      </c>
      <c r="L2020" s="13">
        <v>734</v>
      </c>
      <c r="M2020" s="13">
        <v>877</v>
      </c>
      <c r="N2020" s="13">
        <v>12</v>
      </c>
      <c r="O2020" s="15"/>
      <c r="P2020" s="6">
        <v>41926.88790509259</v>
      </c>
      <c r="Q2020" s="17" t="s">
        <v>7334</v>
      </c>
      <c r="R2020" s="18" t="s">
        <v>7335</v>
      </c>
      <c r="S2020" s="11" t="s">
        <v>7336</v>
      </c>
      <c r="T2020" s="12"/>
      <c r="U2020" s="10" t="str">
        <f>HYPERLINK("https://pbs.twimg.com/profile_images/666607736201814017/Jd-xmZtH.jpg","View")</f>
        <v>View</v>
      </c>
    </row>
    <row r="2021" spans="1:21" ht="40.799999999999997">
      <c r="A2021" s="6">
        <v>43426.695740740739</v>
      </c>
      <c r="B2021" s="7" t="str">
        <f>HYPERLINK("https://twitter.com/CNNEE","@CNNEE")</f>
        <v>@CNNEE</v>
      </c>
      <c r="C2021" s="8" t="s">
        <v>3824</v>
      </c>
      <c r="D2021" s="9" t="s">
        <v>7337</v>
      </c>
      <c r="E2021" s="10" t="str">
        <f>HYPERLINK("https://twitter.com/CNNEE/status/1065631457937375233","1065631457937375233")</f>
        <v>1065631457937375233</v>
      </c>
      <c r="F2021" s="11" t="s">
        <v>7338</v>
      </c>
      <c r="G2021" s="12"/>
      <c r="H2021" s="12"/>
      <c r="I2021" s="13">
        <v>20</v>
      </c>
      <c r="J2021" s="13">
        <v>57</v>
      </c>
      <c r="K2021" s="14" t="str">
        <f>HYPERLINK("http://www.socialflow.com","SocialFlow")</f>
        <v>SocialFlow</v>
      </c>
      <c r="L2021" s="13">
        <v>16805849</v>
      </c>
      <c r="M2021" s="13">
        <v>639</v>
      </c>
      <c r="N2021" s="13">
        <v>50999</v>
      </c>
      <c r="O2021" s="16" t="s">
        <v>26</v>
      </c>
      <c r="P2021" s="6">
        <v>39924.593599537038</v>
      </c>
      <c r="Q2021" s="17" t="s">
        <v>3825</v>
      </c>
      <c r="R2021" s="18" t="s">
        <v>3826</v>
      </c>
      <c r="S2021" s="11" t="s">
        <v>3827</v>
      </c>
      <c r="T2021" s="12"/>
      <c r="U2021" s="10" t="str">
        <f>HYPERLINK("https://pbs.twimg.com/profile_images/589795319216504832/6a71ZHkx.jpg","View")</f>
        <v>View</v>
      </c>
    </row>
    <row r="2022" spans="1:21" ht="40.799999999999997">
      <c r="A2022" s="6">
        <v>43426.695706018523</v>
      </c>
      <c r="B2022" s="7" t="str">
        <f>HYPERLINK("https://twitter.com/Ulcerasnet","@Ulcerasnet")</f>
        <v>@Ulcerasnet</v>
      </c>
      <c r="C2022" s="20" t="s">
        <v>7339</v>
      </c>
      <c r="D2022" s="9" t="s">
        <v>7340</v>
      </c>
      <c r="E2022" s="10" t="str">
        <f>HYPERLINK("https://twitter.com/Ulcerasnet/status/1065631443420962816","1065631443420962816")</f>
        <v>1065631443420962816</v>
      </c>
      <c r="F2022" s="11" t="s">
        <v>7341</v>
      </c>
      <c r="G2022" s="11" t="s">
        <v>7342</v>
      </c>
      <c r="H2022" s="12"/>
      <c r="I2022" s="13">
        <v>1</v>
      </c>
      <c r="J2022" s="13">
        <v>4</v>
      </c>
      <c r="K2022" s="14" t="str">
        <f>HYPERLINK("http://twitter.com/download/iphone","Twitter for iPhone")</f>
        <v>Twitter for iPhone</v>
      </c>
      <c r="L2022" s="13">
        <v>4554</v>
      </c>
      <c r="M2022" s="13">
        <v>3590</v>
      </c>
      <c r="N2022" s="13">
        <v>73</v>
      </c>
      <c r="O2022" s="15"/>
      <c r="P2022" s="6">
        <v>40170.377962962964</v>
      </c>
      <c r="Q2022" s="17" t="s">
        <v>7343</v>
      </c>
      <c r="R2022" s="18" t="s">
        <v>7344</v>
      </c>
      <c r="S2022" s="11" t="s">
        <v>7345</v>
      </c>
      <c r="T2022" s="12"/>
      <c r="U2022" s="10" t="str">
        <f>HYPERLINK("https://pbs.twimg.com/profile_images/618686565213204481/A3hvKXr1.jpg","View")</f>
        <v>View</v>
      </c>
    </row>
    <row r="2023" spans="1:21" ht="40.799999999999997">
      <c r="A2023" s="6">
        <v>43426.694814814815</v>
      </c>
      <c r="B2023" s="7" t="str">
        <f>HYPERLINK("https://twitter.com/lorenacantoEFE","@lorenacantoEFE")</f>
        <v>@lorenacantoEFE</v>
      </c>
      <c r="C2023" s="8" t="s">
        <v>5307</v>
      </c>
      <c r="D2023" s="9" t="s">
        <v>7346</v>
      </c>
      <c r="E2023" s="10" t="str">
        <f>HYPERLINK("https://twitter.com/lorenacantoEFE/status/1065631121310969856","1065631121310969856")</f>
        <v>1065631121310969856</v>
      </c>
      <c r="F2023" s="11" t="s">
        <v>7347</v>
      </c>
      <c r="G2023" s="12"/>
      <c r="H2023" s="12"/>
      <c r="I2023" s="13">
        <v>6</v>
      </c>
      <c r="J2023" s="13">
        <v>13</v>
      </c>
      <c r="K2023" s="14" t="str">
        <f>HYPERLINK("http://twitter.com","Twitter Web Client")</f>
        <v>Twitter Web Client</v>
      </c>
      <c r="L2023" s="13">
        <v>787</v>
      </c>
      <c r="M2023" s="13">
        <v>441</v>
      </c>
      <c r="N2023" s="13">
        <v>37</v>
      </c>
      <c r="O2023" s="15"/>
      <c r="P2023" s="6">
        <v>40880.605937500004</v>
      </c>
      <c r="Q2023" s="17" t="s">
        <v>1282</v>
      </c>
      <c r="R2023" s="18" t="s">
        <v>5309</v>
      </c>
      <c r="S2023" s="12"/>
      <c r="T2023" s="12"/>
      <c r="U2023" s="10" t="str">
        <f>HYPERLINK("https://pbs.twimg.com/profile_images/1047201968203206656/zj459Anb.jpg","View")</f>
        <v>View</v>
      </c>
    </row>
    <row r="2024" spans="1:21" ht="40.799999999999997">
      <c r="A2024" s="6">
        <v>43426.694571759261</v>
      </c>
      <c r="B2024" s="7" t="str">
        <f>HYPERLINK("https://twitter.com/hola","@hola")</f>
        <v>@hola</v>
      </c>
      <c r="C2024" s="8" t="s">
        <v>7348</v>
      </c>
      <c r="D2024" s="9" t="s">
        <v>7349</v>
      </c>
      <c r="E2024" s="10" t="str">
        <f>HYPERLINK("https://twitter.com/hola/status/1065631035319336960","1065631035319336960")</f>
        <v>1065631035319336960</v>
      </c>
      <c r="F2024" s="11" t="s">
        <v>7350</v>
      </c>
      <c r="G2024" s="12"/>
      <c r="H2024" s="12"/>
      <c r="I2024" s="13">
        <v>0</v>
      </c>
      <c r="J2024" s="13">
        <v>4</v>
      </c>
      <c r="K2024" s="14" t="str">
        <f>HYPERLINK("https://www.hootsuite.com","Hootsuite Inc.")</f>
        <v>Hootsuite Inc.</v>
      </c>
      <c r="L2024" s="13">
        <v>1688642</v>
      </c>
      <c r="M2024" s="13">
        <v>2909</v>
      </c>
      <c r="N2024" s="13">
        <v>4867</v>
      </c>
      <c r="O2024" s="16" t="s">
        <v>26</v>
      </c>
      <c r="P2024" s="6">
        <v>39923.210706018523</v>
      </c>
      <c r="Q2024" s="17" t="s">
        <v>6227</v>
      </c>
      <c r="R2024" s="18" t="s">
        <v>7351</v>
      </c>
      <c r="S2024" s="11" t="s">
        <v>7352</v>
      </c>
      <c r="T2024" s="12"/>
      <c r="U2024" s="10" t="str">
        <f>HYPERLINK("https://pbs.twimg.com/profile_images/1054336410201808896/NJCvwTju.jpg","View")</f>
        <v>View</v>
      </c>
    </row>
    <row r="2025" spans="1:21" ht="40.799999999999997">
      <c r="A2025" s="6">
        <v>43426.693738425922</v>
      </c>
      <c r="B2025" s="7" t="str">
        <f>HYPERLINK("https://twitter.com/caval100","@caval100")</f>
        <v>@caval100</v>
      </c>
      <c r="C2025" s="8" t="s">
        <v>6854</v>
      </c>
      <c r="D2025" s="9" t="s">
        <v>7353</v>
      </c>
      <c r="E2025" s="10" t="str">
        <f>HYPERLINK("https://twitter.com/caval100/status/1065630729965584391","1065630729965584391")</f>
        <v>1065630729965584391</v>
      </c>
      <c r="F2025" s="11" t="s">
        <v>7354</v>
      </c>
      <c r="G2025" s="12"/>
      <c r="H2025" s="12"/>
      <c r="I2025" s="13">
        <v>0</v>
      </c>
      <c r="J2025" s="13">
        <v>0</v>
      </c>
      <c r="K2025" s="14" t="str">
        <f t="shared" ref="K2025:K2026" si="336">HYPERLINK("http://twitter.com","Twitter Web Client")</f>
        <v>Twitter Web Client</v>
      </c>
      <c r="L2025" s="13">
        <v>119224</v>
      </c>
      <c r="M2025" s="13">
        <v>94076</v>
      </c>
      <c r="N2025" s="13">
        <v>981</v>
      </c>
      <c r="O2025" s="15"/>
      <c r="P2025" s="6">
        <v>40079.437094907407</v>
      </c>
      <c r="Q2025" s="17" t="s">
        <v>6227</v>
      </c>
      <c r="R2025" s="18" t="s">
        <v>6856</v>
      </c>
      <c r="S2025" s="11" t="s">
        <v>6857</v>
      </c>
      <c r="T2025" s="12"/>
      <c r="U2025" s="10" t="str">
        <f>HYPERLINK("https://pbs.twimg.com/profile_images/965350678301429760/uvGI7g8U.jpg","View")</f>
        <v>View</v>
      </c>
    </row>
    <row r="2026" spans="1:21" ht="40.799999999999997">
      <c r="A2026" s="6">
        <v>43426.693043981482</v>
      </c>
      <c r="B2026" s="7" t="str">
        <f>HYPERLINK("https://twitter.com/Cuetano68","@Cuetano68")</f>
        <v>@Cuetano68</v>
      </c>
      <c r="C2026" s="8" t="s">
        <v>3008</v>
      </c>
      <c r="D2026" s="9" t="s">
        <v>7355</v>
      </c>
      <c r="E2026" s="10" t="str">
        <f>HYPERLINK("https://twitter.com/Cuetano68/status/1065630478122795008","1065630478122795008")</f>
        <v>1065630478122795008</v>
      </c>
      <c r="F2026" s="11" t="s">
        <v>7356</v>
      </c>
      <c r="G2026" s="12"/>
      <c r="H2026" s="12"/>
      <c r="I2026" s="13">
        <v>0</v>
      </c>
      <c r="J2026" s="13">
        <v>0</v>
      </c>
      <c r="K2026" s="14" t="str">
        <f t="shared" si="336"/>
        <v>Twitter Web Client</v>
      </c>
      <c r="L2026" s="13">
        <v>5832</v>
      </c>
      <c r="M2026" s="13">
        <v>6113</v>
      </c>
      <c r="N2026" s="13">
        <v>121</v>
      </c>
      <c r="O2026" s="15"/>
      <c r="P2026" s="6">
        <v>40725.851666666669</v>
      </c>
      <c r="Q2026" s="17" t="s">
        <v>3011</v>
      </c>
      <c r="R2026" s="18" t="s">
        <v>3012</v>
      </c>
      <c r="S2026" s="11" t="s">
        <v>3013</v>
      </c>
      <c r="T2026" s="12"/>
      <c r="U2026" s="10" t="str">
        <f>HYPERLINK("https://pbs.twimg.com/profile_images/900511161799639040/5J9IE4Yv.jpg","View")</f>
        <v>View</v>
      </c>
    </row>
    <row r="2027" spans="1:21" ht="20.399999999999999">
      <c r="A2027" s="6">
        <v>43426.692719907413</v>
      </c>
      <c r="B2027" s="7" t="str">
        <f>HYPERLINK("https://twitter.com/akramrichani","@akramrichani")</f>
        <v>@akramrichani</v>
      </c>
      <c r="C2027" s="8" t="s">
        <v>117</v>
      </c>
      <c r="D2027" s="9" t="s">
        <v>5335</v>
      </c>
      <c r="E2027" s="10" t="str">
        <f>HYPERLINK("https://twitter.com/akramrichani/status/1065630362582360065","1065630362582360065")</f>
        <v>1065630362582360065</v>
      </c>
      <c r="F2027" s="11" t="s">
        <v>4718</v>
      </c>
      <c r="G2027" s="12"/>
      <c r="H2027" s="12"/>
      <c r="I2027" s="13">
        <v>0</v>
      </c>
      <c r="J2027" s="13">
        <v>0</v>
      </c>
      <c r="K2027" s="14" t="str">
        <f>HYPERLINK("http://twitter.com/download/android","Twitter for Android")</f>
        <v>Twitter for Android</v>
      </c>
      <c r="L2027" s="13">
        <v>181</v>
      </c>
      <c r="M2027" s="13">
        <v>660</v>
      </c>
      <c r="N2027" s="13">
        <v>19</v>
      </c>
      <c r="O2027" s="15"/>
      <c r="P2027" s="6">
        <v>40338.705381944441</v>
      </c>
      <c r="Q2027" s="12"/>
      <c r="R2027" s="19"/>
      <c r="S2027" s="12"/>
      <c r="T2027" s="12"/>
      <c r="U2027" s="10" t="str">
        <f>HYPERLINK("https://pbs.twimg.com/profile_images/608610078711779329/PFKz7yAB.jpg","View")</f>
        <v>View</v>
      </c>
    </row>
    <row r="2028" spans="1:21" ht="40.799999999999997">
      <c r="A2028" s="6">
        <v>43426.692708333328</v>
      </c>
      <c r="B2028" s="7" t="str">
        <f>HYPERLINK("https://twitter.com/lislape","@lislape")</f>
        <v>@lislape</v>
      </c>
      <c r="C2028" s="8" t="s">
        <v>7357</v>
      </c>
      <c r="D2028" s="9" t="s">
        <v>7358</v>
      </c>
      <c r="E2028" s="10" t="str">
        <f>HYPERLINK("https://twitter.com/lislape/status/1065630358354448387","1065630358354448387")</f>
        <v>1065630358354448387</v>
      </c>
      <c r="F2028" s="11" t="s">
        <v>7359</v>
      </c>
      <c r="G2028" s="12"/>
      <c r="H2028" s="12"/>
      <c r="I2028" s="13">
        <v>0</v>
      </c>
      <c r="J2028" s="13">
        <v>0</v>
      </c>
      <c r="K2028" s="14" t="str">
        <f>HYPERLINK("http://twitter.com","Twitter Web Client")</f>
        <v>Twitter Web Client</v>
      </c>
      <c r="L2028" s="13">
        <v>743</v>
      </c>
      <c r="M2028" s="13">
        <v>1464</v>
      </c>
      <c r="N2028" s="13">
        <v>4</v>
      </c>
      <c r="O2028" s="15"/>
      <c r="P2028" s="6">
        <v>41347.551226851851</v>
      </c>
      <c r="Q2028" s="17" t="s">
        <v>7360</v>
      </c>
      <c r="R2028" s="18" t="s">
        <v>7361</v>
      </c>
      <c r="S2028" s="12"/>
      <c r="T2028" s="12"/>
      <c r="U2028" s="10" t="str">
        <f>HYPERLINK("https://pbs.twimg.com/profile_images/580145533865631744/GwgH45z1.jpg","View")</f>
        <v>View</v>
      </c>
    </row>
    <row r="2029" spans="1:21" ht="61.2">
      <c r="A2029" s="6">
        <v>43426.69253472222</v>
      </c>
      <c r="B2029" s="7" t="str">
        <f>HYPERLINK("https://twitter.com/viejolobo1965","@viejolobo1965")</f>
        <v>@viejolobo1965</v>
      </c>
      <c r="C2029" s="8" t="s">
        <v>7362</v>
      </c>
      <c r="D2029" s="9" t="s">
        <v>7363</v>
      </c>
      <c r="E2029" s="10" t="str">
        <f>HYPERLINK("https://twitter.com/viejolobo1965/status/1065630295230242818","1065630295230242818")</f>
        <v>1065630295230242818</v>
      </c>
      <c r="F2029" s="11" t="s">
        <v>7364</v>
      </c>
      <c r="G2029" s="11" t="s">
        <v>7365</v>
      </c>
      <c r="H2029" s="12"/>
      <c r="I2029" s="13">
        <v>0</v>
      </c>
      <c r="J2029" s="13">
        <v>0</v>
      </c>
      <c r="K2029" s="14" t="str">
        <f t="shared" ref="K2029:K2031" si="337">HYPERLINK("http://twitter.com/download/android","Twitter for Android")</f>
        <v>Twitter for Android</v>
      </c>
      <c r="L2029" s="13">
        <v>110</v>
      </c>
      <c r="M2029" s="13">
        <v>98</v>
      </c>
      <c r="N2029" s="13">
        <v>1</v>
      </c>
      <c r="O2029" s="15"/>
      <c r="P2029" s="6">
        <v>40946.810011574074</v>
      </c>
      <c r="Q2029" s="17" t="s">
        <v>7366</v>
      </c>
      <c r="R2029" s="18" t="s">
        <v>7367</v>
      </c>
      <c r="S2029" s="12"/>
      <c r="T2029" s="12"/>
      <c r="U2029" s="10" t="str">
        <f>HYPERLINK("https://pbs.twimg.com/profile_images/1875153954/375775_1919858295864_1824268294_1286236_830190511_n_2_.jpg","View")</f>
        <v>View</v>
      </c>
    </row>
    <row r="2030" spans="1:21" ht="40.799999999999997">
      <c r="A2030" s="6">
        <v>43426.69226851852</v>
      </c>
      <c r="B2030" s="7" t="str">
        <f>HYPERLINK("https://twitter.com/caencomonueces","@caencomonueces")</f>
        <v>@caencomonueces</v>
      </c>
      <c r="C2030" s="8" t="s">
        <v>4902</v>
      </c>
      <c r="D2030" s="9" t="s">
        <v>7368</v>
      </c>
      <c r="E2030" s="10" t="str">
        <f>HYPERLINK("https://twitter.com/caencomonueces/status/1065630199939780609","1065630199939780609")</f>
        <v>1065630199939780609</v>
      </c>
      <c r="F2030" s="11" t="s">
        <v>753</v>
      </c>
      <c r="G2030" s="12"/>
      <c r="H2030" s="12"/>
      <c r="I2030" s="13">
        <v>0</v>
      </c>
      <c r="J2030" s="13">
        <v>0</v>
      </c>
      <c r="K2030" s="14" t="str">
        <f t="shared" si="337"/>
        <v>Twitter for Android</v>
      </c>
      <c r="L2030" s="13">
        <v>629</v>
      </c>
      <c r="M2030" s="13">
        <v>1153</v>
      </c>
      <c r="N2030" s="13">
        <v>3</v>
      </c>
      <c r="O2030" s="15"/>
      <c r="P2030" s="6">
        <v>41242.801539351851</v>
      </c>
      <c r="Q2030" s="17" t="s">
        <v>436</v>
      </c>
      <c r="R2030" s="18" t="s">
        <v>4903</v>
      </c>
      <c r="S2030" s="12"/>
      <c r="T2030" s="12"/>
      <c r="U2030" s="10" t="str">
        <f>HYPERLINK("https://pbs.twimg.com/profile_images/802542076420378628/S_52YFJA.jpg","View")</f>
        <v>View</v>
      </c>
    </row>
    <row r="2031" spans="1:21" ht="40.799999999999997">
      <c r="A2031" s="6">
        <v>43426.692152777774</v>
      </c>
      <c r="B2031" s="7" t="str">
        <f>HYPERLINK("https://twitter.com/PPineros_","@PPineros_")</f>
        <v>@PPineros_</v>
      </c>
      <c r="C2031" s="8" t="s">
        <v>6741</v>
      </c>
      <c r="D2031" s="9" t="s">
        <v>7369</v>
      </c>
      <c r="E2031" s="10" t="str">
        <f>HYPERLINK("https://twitter.com/PPineros_/status/1065630155476033536","1065630155476033536")</f>
        <v>1065630155476033536</v>
      </c>
      <c r="F2031" s="17" t="s">
        <v>7370</v>
      </c>
      <c r="G2031" s="12"/>
      <c r="H2031" s="12"/>
      <c r="I2031" s="13">
        <v>2</v>
      </c>
      <c r="J2031" s="13">
        <v>1</v>
      </c>
      <c r="K2031" s="14" t="str">
        <f t="shared" si="337"/>
        <v>Twitter for Android</v>
      </c>
      <c r="L2031" s="13">
        <v>2506</v>
      </c>
      <c r="M2031" s="13">
        <v>2317</v>
      </c>
      <c r="N2031" s="13">
        <v>76</v>
      </c>
      <c r="O2031" s="15"/>
      <c r="P2031" s="6">
        <v>41370.433541666665</v>
      </c>
      <c r="Q2031" s="17" t="s">
        <v>6743</v>
      </c>
      <c r="R2031" s="18" t="s">
        <v>6744</v>
      </c>
      <c r="S2031" s="12"/>
      <c r="T2031" s="12"/>
      <c r="U2031" s="10" t="str">
        <f>HYPERLINK("https://pbs.twimg.com/profile_images/1021295538694688768/EsSY7i6E.jpg","View")</f>
        <v>View</v>
      </c>
    </row>
    <row r="2032" spans="1:21" ht="40.799999999999997">
      <c r="A2032" s="6">
        <v>43426.691747685181</v>
      </c>
      <c r="B2032" s="7" t="str">
        <f>HYPERLINK("https://twitter.com/Tonicanto1","@Tonicanto1")</f>
        <v>@Tonicanto1</v>
      </c>
      <c r="C2032" s="8" t="s">
        <v>7371</v>
      </c>
      <c r="D2032" s="9" t="s">
        <v>7372</v>
      </c>
      <c r="E2032" s="10" t="str">
        <f>HYPERLINK("https://twitter.com/Tonicanto1/status/1065630009199656961","1065630009199656961")</f>
        <v>1065630009199656961</v>
      </c>
      <c r="F2032" s="11" t="s">
        <v>7373</v>
      </c>
      <c r="G2032" s="12"/>
      <c r="H2032" s="12"/>
      <c r="I2032" s="13">
        <v>143</v>
      </c>
      <c r="J2032" s="13">
        <v>123</v>
      </c>
      <c r="K2032" s="14" t="str">
        <f>HYPERLINK("http://twitter.com/download/iphone","Twitter for iPhone")</f>
        <v>Twitter for iPhone</v>
      </c>
      <c r="L2032" s="13">
        <v>222026</v>
      </c>
      <c r="M2032" s="13">
        <v>2349</v>
      </c>
      <c r="N2032" s="13">
        <v>2476</v>
      </c>
      <c r="O2032" s="16" t="s">
        <v>26</v>
      </c>
      <c r="P2032" s="6">
        <v>40582.553437499999</v>
      </c>
      <c r="Q2032" s="12"/>
      <c r="R2032" s="18" t="s">
        <v>7374</v>
      </c>
      <c r="S2032" s="12"/>
      <c r="T2032" s="12"/>
      <c r="U2032" s="10" t="str">
        <f>HYPERLINK("https://pbs.twimg.com/profile_images/810553492003844096/yhXB9xXt.jpg","View")</f>
        <v>View</v>
      </c>
    </row>
    <row r="2033" spans="1:21" ht="40.799999999999997">
      <c r="A2033" s="6">
        <v>43426.689745370371</v>
      </c>
      <c r="B2033" s="7" t="str">
        <f>HYPERLINK("https://twitter.com/rey2do","@rey2do")</f>
        <v>@rey2do</v>
      </c>
      <c r="C2033" s="8" t="s">
        <v>7375</v>
      </c>
      <c r="D2033" s="9" t="s">
        <v>7376</v>
      </c>
      <c r="E2033" s="10" t="str">
        <f>HYPERLINK("https://twitter.com/rey2do/status/1065629284956585985","1065629284956585985")</f>
        <v>1065629284956585985</v>
      </c>
      <c r="F2033" s="12"/>
      <c r="G2033" s="12"/>
      <c r="H2033" s="12"/>
      <c r="I2033" s="13">
        <v>1</v>
      </c>
      <c r="J2033" s="13">
        <v>1</v>
      </c>
      <c r="K2033" s="14" t="str">
        <f>HYPERLINK("http://twitter.com/download/android","Twitter for Android")</f>
        <v>Twitter for Android</v>
      </c>
      <c r="L2033" s="13">
        <v>409</v>
      </c>
      <c r="M2033" s="13">
        <v>664</v>
      </c>
      <c r="N2033" s="13">
        <v>6</v>
      </c>
      <c r="O2033" s="15"/>
      <c r="P2033" s="6">
        <v>40233.995127314818</v>
      </c>
      <c r="Q2033" s="17" t="s">
        <v>7380</v>
      </c>
      <c r="R2033" s="18" t="s">
        <v>7381</v>
      </c>
      <c r="S2033" s="12"/>
      <c r="T2033" s="12"/>
      <c r="U2033" s="10" t="str">
        <f>HYPERLINK("https://pbs.twimg.com/profile_images/871559462624120834/XKqmtwJv.jpg","View")</f>
        <v>View</v>
      </c>
    </row>
    <row r="2034" spans="1:21" ht="30.6">
      <c r="A2034" s="6">
        <v>43426.68886574074</v>
      </c>
      <c r="B2034" s="7" t="str">
        <f>HYPERLINK("https://twitter.com/LVetrinbajo","@LVetrinbajo")</f>
        <v>@LVetrinbajo</v>
      </c>
      <c r="C2034" s="8" t="s">
        <v>4545</v>
      </c>
      <c r="D2034" s="9" t="s">
        <v>7383</v>
      </c>
      <c r="E2034" s="10" t="str">
        <f>HYPERLINK("https://twitter.com/LVetrinbajo/status/1065628964994121728","1065628964994121728")</f>
        <v>1065628964994121728</v>
      </c>
      <c r="F2034" s="11" t="s">
        <v>1077</v>
      </c>
      <c r="G2034" s="12"/>
      <c r="H2034" s="12"/>
      <c r="I2034" s="13">
        <v>0</v>
      </c>
      <c r="J2034" s="13">
        <v>0</v>
      </c>
      <c r="K2034" s="14" t="str">
        <f>HYPERLINK("http://twitter.com/download/iphone","Twitter for iPhone")</f>
        <v>Twitter for iPhone</v>
      </c>
      <c r="L2034" s="13">
        <v>830</v>
      </c>
      <c r="M2034" s="13">
        <v>1867</v>
      </c>
      <c r="N2034" s="13">
        <v>7</v>
      </c>
      <c r="O2034" s="15"/>
      <c r="P2034" s="6">
        <v>43091.966851851852</v>
      </c>
      <c r="Q2034" s="17" t="s">
        <v>6553</v>
      </c>
      <c r="R2034" s="18" t="s">
        <v>6554</v>
      </c>
      <c r="S2034" s="12"/>
      <c r="T2034" s="12"/>
      <c r="U2034" s="10" t="str">
        <f>HYPERLINK("https://pbs.twimg.com/profile_images/1002927443542528001/Ye4GwF3U.jpg","View")</f>
        <v>View</v>
      </c>
    </row>
    <row r="2035" spans="1:21" ht="30.6">
      <c r="A2035" s="6">
        <v>43426.688206018516</v>
      </c>
      <c r="B2035" s="7" t="str">
        <f>HYPERLINK("https://twitter.com/El_Perchelero","@El_Perchelero")</f>
        <v>@El_Perchelero</v>
      </c>
      <c r="C2035" s="8" t="s">
        <v>5792</v>
      </c>
      <c r="D2035" s="9" t="s">
        <v>7384</v>
      </c>
      <c r="E2035" s="10" t="str">
        <f>HYPERLINK("https://twitter.com/El_Perchelero/status/1065628726614986753","1065628726614986753")</f>
        <v>1065628726614986753</v>
      </c>
      <c r="F2035" s="12"/>
      <c r="G2035" s="12"/>
      <c r="H2035" s="12"/>
      <c r="I2035" s="13">
        <v>0</v>
      </c>
      <c r="J2035" s="13">
        <v>0</v>
      </c>
      <c r="K2035" s="14" t="str">
        <f>HYPERLINK("http://twitter.com/download/android","Twitter for Android")</f>
        <v>Twitter for Android</v>
      </c>
      <c r="L2035" s="13">
        <v>142</v>
      </c>
      <c r="M2035" s="13">
        <v>515</v>
      </c>
      <c r="N2035" s="13">
        <v>5</v>
      </c>
      <c r="O2035" s="15"/>
      <c r="P2035" s="6">
        <v>42662.697141203702</v>
      </c>
      <c r="Q2035" s="12"/>
      <c r="R2035" s="18" t="s">
        <v>5795</v>
      </c>
      <c r="S2035" s="12"/>
      <c r="T2035" s="12"/>
      <c r="U2035" s="10" t="str">
        <f>HYPERLINK("https://pbs.twimg.com/profile_images/788754962713116672/NWgKDpSO.jpg","View")</f>
        <v>View</v>
      </c>
    </row>
    <row r="2036" spans="1:21" ht="20.399999999999999">
      <c r="A2036" s="6">
        <v>43426.688067129631</v>
      </c>
      <c r="B2036" s="7" t="str">
        <f>HYPERLINK("https://twitter.com/coli48","@coli48")</f>
        <v>@coli48</v>
      </c>
      <c r="C2036" s="8" t="s">
        <v>7385</v>
      </c>
      <c r="D2036" s="9" t="s">
        <v>1143</v>
      </c>
      <c r="E2036" s="10" t="str">
        <f>HYPERLINK("https://twitter.com/coli48/status/1065628676832808960","1065628676832808960")</f>
        <v>1065628676832808960</v>
      </c>
      <c r="F2036" s="11" t="s">
        <v>7386</v>
      </c>
      <c r="G2036" s="12"/>
      <c r="H2036" s="12"/>
      <c r="I2036" s="13">
        <v>1</v>
      </c>
      <c r="J2036" s="13">
        <v>1</v>
      </c>
      <c r="K2036" s="14" t="str">
        <f>HYPERLINK("http://twitter.com","Twitter Web Client")</f>
        <v>Twitter Web Client</v>
      </c>
      <c r="L2036" s="13">
        <v>2234</v>
      </c>
      <c r="M2036" s="13">
        <v>2482</v>
      </c>
      <c r="N2036" s="13">
        <v>34</v>
      </c>
      <c r="O2036" s="15"/>
      <c r="P2036" s="6">
        <v>40638.014861111107</v>
      </c>
      <c r="Q2036" s="17" t="s">
        <v>28</v>
      </c>
      <c r="R2036" s="18" t="s">
        <v>7387</v>
      </c>
      <c r="S2036" s="12"/>
      <c r="T2036" s="12"/>
      <c r="U2036" s="10" t="str">
        <f>HYPERLINK("https://pbs.twimg.com/profile_images/818574685420011520/kBqBi4de.jpg","View")</f>
        <v>View</v>
      </c>
    </row>
    <row r="2037" spans="1:21" ht="40.799999999999997">
      <c r="A2037" s="6">
        <v>43426.687962962962</v>
      </c>
      <c r="B2037" s="7" t="str">
        <f>HYPERLINK("https://twitter.com/reguera58","@reguera58")</f>
        <v>@reguera58</v>
      </c>
      <c r="C2037" s="8" t="s">
        <v>7388</v>
      </c>
      <c r="D2037" s="9" t="s">
        <v>6181</v>
      </c>
      <c r="E2037" s="10" t="str">
        <f>HYPERLINK("https://twitter.com/reguera58/status/1065628638580625408","1065628638580625408")</f>
        <v>1065628638580625408</v>
      </c>
      <c r="F2037" s="11" t="s">
        <v>7389</v>
      </c>
      <c r="G2037" s="12"/>
      <c r="H2037" s="12"/>
      <c r="I2037" s="13">
        <v>0</v>
      </c>
      <c r="J2037" s="13">
        <v>0</v>
      </c>
      <c r="K2037" s="14" t="str">
        <f>HYPERLINK("https://dlvrit.com/","dlvr.it")</f>
        <v>dlvr.it</v>
      </c>
      <c r="L2037" s="13">
        <v>463</v>
      </c>
      <c r="M2037" s="13">
        <v>558</v>
      </c>
      <c r="N2037" s="13">
        <v>13</v>
      </c>
      <c r="O2037" s="15"/>
      <c r="P2037" s="6">
        <v>40329.747685185182</v>
      </c>
      <c r="Q2037" s="17" t="s">
        <v>7390</v>
      </c>
      <c r="R2037" s="18" t="s">
        <v>7391</v>
      </c>
      <c r="S2037" s="11" t="s">
        <v>7392</v>
      </c>
      <c r="T2037" s="12"/>
      <c r="U2037" s="10" t="str">
        <f>HYPERLINK("https://pbs.twimg.com/profile_images/1642346710/Jose.jpg","View")</f>
        <v>View</v>
      </c>
    </row>
    <row r="2038" spans="1:21" ht="51">
      <c r="A2038" s="6">
        <v>43426.6878587963</v>
      </c>
      <c r="B2038" s="7" t="str">
        <f>HYPERLINK("https://twitter.com/escanerdetamps","@escanerdetamps")</f>
        <v>@escanerdetamps</v>
      </c>
      <c r="C2038" s="8" t="s">
        <v>7393</v>
      </c>
      <c r="D2038" s="9" t="s">
        <v>7394</v>
      </c>
      <c r="E2038" s="10" t="str">
        <f>HYPERLINK("https://twitter.com/escanerdetamps/status/1065628602023272448","1065628602023272448")</f>
        <v>1065628602023272448</v>
      </c>
      <c r="F2038" s="11" t="s">
        <v>7395</v>
      </c>
      <c r="G2038" s="12"/>
      <c r="H2038" s="12"/>
      <c r="I2038" s="13">
        <v>0</v>
      </c>
      <c r="J2038" s="13">
        <v>0</v>
      </c>
      <c r="K2038" s="14" t="str">
        <f>HYPERLINK("http://www.facebook.com/twitter","Facebook")</f>
        <v>Facebook</v>
      </c>
      <c r="L2038" s="13">
        <v>295</v>
      </c>
      <c r="M2038" s="13">
        <v>111</v>
      </c>
      <c r="N2038" s="13">
        <v>6</v>
      </c>
      <c r="O2038" s="15"/>
      <c r="P2038" s="6">
        <v>41938.856354166666</v>
      </c>
      <c r="Q2038" s="17" t="s">
        <v>7396</v>
      </c>
      <c r="R2038" s="19"/>
      <c r="S2038" s="11" t="s">
        <v>7397</v>
      </c>
      <c r="T2038" s="12"/>
      <c r="U2038" s="10" t="str">
        <f>HYPERLINK("https://pbs.twimg.com/profile_images/526458598553948161/8nQRad4O.png","View")</f>
        <v>View</v>
      </c>
    </row>
    <row r="2039" spans="1:21" ht="30.6">
      <c r="A2039" s="6">
        <v>43426.6875</v>
      </c>
      <c r="B2039" s="7" t="str">
        <f>HYPERLINK("https://twitter.com/trabajadorescu","@trabajadorescu")</f>
        <v>@trabajadorescu</v>
      </c>
      <c r="C2039" s="20" t="s">
        <v>1203</v>
      </c>
      <c r="D2039" s="9" t="s">
        <v>7398</v>
      </c>
      <c r="E2039" s="10" t="str">
        <f>HYPERLINK("https://twitter.com/trabajadorescu/status/1065628470904938496","1065628470904938496")</f>
        <v>1065628470904938496</v>
      </c>
      <c r="F2039" s="12"/>
      <c r="G2039" s="12"/>
      <c r="H2039" s="12"/>
      <c r="I2039" s="13">
        <v>0</v>
      </c>
      <c r="J2039" s="13">
        <v>0</v>
      </c>
      <c r="K2039" s="14" t="str">
        <f>HYPERLINK("https://about.twitter.com/products/tweetdeck","TweetDeck")</f>
        <v>TweetDeck</v>
      </c>
      <c r="L2039" s="13">
        <v>9838</v>
      </c>
      <c r="M2039" s="13">
        <v>272</v>
      </c>
      <c r="N2039" s="13">
        <v>151</v>
      </c>
      <c r="O2039" s="15"/>
      <c r="P2039" s="6">
        <v>40304.712233796294</v>
      </c>
      <c r="Q2039" s="17" t="s">
        <v>52</v>
      </c>
      <c r="R2039" s="18" t="s">
        <v>1206</v>
      </c>
      <c r="S2039" s="11" t="s">
        <v>1207</v>
      </c>
      <c r="T2039" s="12"/>
      <c r="U2039" s="10" t="str">
        <f>HYPERLINK("https://pbs.twimg.com/profile_images/986694080213037056/J0pt8JjI.jpg","View")</f>
        <v>View</v>
      </c>
    </row>
    <row r="2040" spans="1:21" ht="30.6">
      <c r="A2040" s="6">
        <v>43426.687453703707</v>
      </c>
      <c r="B2040" s="7" t="str">
        <f>HYPERLINK("https://twitter.com/Moggio3","@Moggio3")</f>
        <v>@Moggio3</v>
      </c>
      <c r="C2040" s="8" t="s">
        <v>2941</v>
      </c>
      <c r="D2040" s="9" t="s">
        <v>7399</v>
      </c>
      <c r="E2040" s="10" t="str">
        <f>HYPERLINK("https://twitter.com/Moggio3/status/1065628452655702016","1065628452655702016")</f>
        <v>1065628452655702016</v>
      </c>
      <c r="F2040" s="11" t="s">
        <v>7400</v>
      </c>
      <c r="G2040" s="12"/>
      <c r="H2040" s="12"/>
      <c r="I2040" s="13">
        <v>1</v>
      </c>
      <c r="J2040" s="13">
        <v>0</v>
      </c>
      <c r="K2040" s="14" t="str">
        <f>HYPERLINK("http://www.facebook.com/twitter","Facebook")</f>
        <v>Facebook</v>
      </c>
      <c r="L2040" s="13">
        <v>1425</v>
      </c>
      <c r="M2040" s="13">
        <v>1561</v>
      </c>
      <c r="N2040" s="13">
        <v>18</v>
      </c>
      <c r="O2040" s="15"/>
      <c r="P2040" s="6">
        <v>40943.796493055554</v>
      </c>
      <c r="Q2040" s="17" t="s">
        <v>28</v>
      </c>
      <c r="R2040" s="18" t="s">
        <v>2944</v>
      </c>
      <c r="S2040" s="11" t="s">
        <v>2945</v>
      </c>
      <c r="T2040" s="12"/>
      <c r="U2040" s="10" t="str">
        <f>HYPERLINK("https://pbs.twimg.com/profile_images/929073809772171265/y2DlCHrC.jpg","View")</f>
        <v>View</v>
      </c>
    </row>
    <row r="2041" spans="1:21" ht="40.799999999999997">
      <c r="A2041" s="6">
        <v>43426.687199074076</v>
      </c>
      <c r="B2041" s="7" t="str">
        <f>HYPERLINK("https://twitter.com/SSarelvis67","@SSarelvis67")</f>
        <v>@SSarelvis67</v>
      </c>
      <c r="C2041" s="8" t="s">
        <v>5870</v>
      </c>
      <c r="D2041" s="9" t="s">
        <v>7401</v>
      </c>
      <c r="E2041" s="10" t="str">
        <f>HYPERLINK("https://twitter.com/SSarelvis67/status/1065628362364907521","1065628362364907521")</f>
        <v>1065628362364907521</v>
      </c>
      <c r="F2041" s="11" t="s">
        <v>3636</v>
      </c>
      <c r="G2041" s="12"/>
      <c r="H2041" s="12"/>
      <c r="I2041" s="13">
        <v>21</v>
      </c>
      <c r="J2041" s="13">
        <v>19</v>
      </c>
      <c r="K2041" s="14" t="str">
        <f t="shared" ref="K2041:K2042" si="338">HYPERLINK("http://twitter.com/download/android","Twitter for Android")</f>
        <v>Twitter for Android</v>
      </c>
      <c r="L2041" s="13">
        <v>1926</v>
      </c>
      <c r="M2041" s="13">
        <v>2763</v>
      </c>
      <c r="N2041" s="13">
        <v>14</v>
      </c>
      <c r="O2041" s="15"/>
      <c r="P2041" s="6">
        <v>41358.931979166664</v>
      </c>
      <c r="Q2041" s="12"/>
      <c r="R2041" s="19"/>
      <c r="S2041" s="12"/>
      <c r="T2041" s="12"/>
      <c r="U2041" s="10" t="str">
        <f>HYPERLINK("https://pbs.twimg.com/profile_images/1047798065602723840/HgQ02HsX.jpg","View")</f>
        <v>View</v>
      </c>
    </row>
    <row r="2042" spans="1:21" ht="40.799999999999997">
      <c r="A2042" s="6">
        <v>43426.686539351853</v>
      </c>
      <c r="B2042" s="7" t="str">
        <f>HYPERLINK("https://twitter.com/jmmangas9","@jmmangas9")</f>
        <v>@jmmangas9</v>
      </c>
      <c r="C2042" s="8" t="s">
        <v>2853</v>
      </c>
      <c r="D2042" s="9" t="s">
        <v>7402</v>
      </c>
      <c r="E2042" s="10" t="str">
        <f>HYPERLINK("https://twitter.com/jmmangas9/status/1065628123595763713","1065628123595763713")</f>
        <v>1065628123595763713</v>
      </c>
      <c r="F2042" s="12"/>
      <c r="G2042" s="12"/>
      <c r="H2042" s="12"/>
      <c r="I2042" s="13">
        <v>0</v>
      </c>
      <c r="J2042" s="13">
        <v>0</v>
      </c>
      <c r="K2042" s="14" t="str">
        <f t="shared" si="338"/>
        <v>Twitter for Android</v>
      </c>
      <c r="L2042" s="13">
        <v>145</v>
      </c>
      <c r="M2042" s="13">
        <v>600</v>
      </c>
      <c r="N2042" s="13">
        <v>0</v>
      </c>
      <c r="O2042" s="15"/>
      <c r="P2042" s="6">
        <v>42653.805300925931</v>
      </c>
      <c r="Q2042" s="12"/>
      <c r="R2042" s="18" t="s">
        <v>2856</v>
      </c>
      <c r="S2042" s="12"/>
      <c r="T2042" s="12"/>
      <c r="U2042" s="10" t="str">
        <f>HYPERLINK("https://pbs.twimg.com/profile_images/786873792169672704/t_6tcg9V.jpg","View")</f>
        <v>View</v>
      </c>
    </row>
    <row r="2043" spans="1:21" ht="51">
      <c r="A2043" s="6">
        <v>43426.686018518521</v>
      </c>
      <c r="B2043" s="7" t="str">
        <f>HYPERLINK("https://twitter.com/GuasAgustin","@GuasAgustin")</f>
        <v>@GuasAgustin</v>
      </c>
      <c r="C2043" s="8" t="s">
        <v>7403</v>
      </c>
      <c r="D2043" s="9" t="s">
        <v>7404</v>
      </c>
      <c r="E2043" s="10" t="str">
        <f>HYPERLINK("https://twitter.com/GuasAgustin/status/1065627932494835712","1065627932494835712")</f>
        <v>1065627932494835712</v>
      </c>
      <c r="F2043" s="11" t="s">
        <v>7405</v>
      </c>
      <c r="G2043" s="12"/>
      <c r="H2043" s="12"/>
      <c r="I2043" s="13">
        <v>0</v>
      </c>
      <c r="J2043" s="13">
        <v>0</v>
      </c>
      <c r="K2043" s="14" t="str">
        <f t="shared" ref="K2043:K2044" si="339">HYPERLINK("http://twitter.com/download/iphone","Twitter for iPhone")</f>
        <v>Twitter for iPhone</v>
      </c>
      <c r="L2043" s="13">
        <v>58</v>
      </c>
      <c r="M2043" s="13">
        <v>199</v>
      </c>
      <c r="N2043" s="13">
        <v>0</v>
      </c>
      <c r="O2043" s="15"/>
      <c r="P2043" s="6">
        <v>41111.697291666671</v>
      </c>
      <c r="Q2043" s="12"/>
      <c r="R2043" s="18" t="s">
        <v>7406</v>
      </c>
      <c r="S2043" s="12"/>
      <c r="T2043" s="12"/>
      <c r="U2043" s="10" t="str">
        <f>HYPERLINK("https://pbs.twimg.com/profile_images/1065554867769565184/cDdYJykl.jpg","View")</f>
        <v>View</v>
      </c>
    </row>
    <row r="2044" spans="1:21" ht="40.799999999999997">
      <c r="A2044" s="6">
        <v>43426.684629629628</v>
      </c>
      <c r="B2044" s="7" t="str">
        <f>HYPERLINK("https://twitter.com/herrerobono","@herrerobono")</f>
        <v>@herrerobono</v>
      </c>
      <c r="C2044" s="8" t="s">
        <v>7407</v>
      </c>
      <c r="D2044" s="9" t="s">
        <v>7408</v>
      </c>
      <c r="E2044" s="10" t="str">
        <f>HYPERLINK("https://twitter.com/herrerobono/status/1065627429648117761","1065627429648117761")</f>
        <v>1065627429648117761</v>
      </c>
      <c r="F2044" s="12"/>
      <c r="G2044" s="11" t="s">
        <v>7409</v>
      </c>
      <c r="H2044" s="12"/>
      <c r="I2044" s="13">
        <v>4</v>
      </c>
      <c r="J2044" s="13">
        <v>14</v>
      </c>
      <c r="K2044" s="14" t="str">
        <f t="shared" si="339"/>
        <v>Twitter for iPhone</v>
      </c>
      <c r="L2044" s="13">
        <v>4587</v>
      </c>
      <c r="M2044" s="13">
        <v>3867</v>
      </c>
      <c r="N2044" s="13">
        <v>69</v>
      </c>
      <c r="O2044" s="16" t="s">
        <v>26</v>
      </c>
      <c r="P2044" s="6">
        <v>41941.598171296297</v>
      </c>
      <c r="Q2044" s="17" t="s">
        <v>7410</v>
      </c>
      <c r="R2044" s="18" t="s">
        <v>7411</v>
      </c>
      <c r="S2044" s="11" t="s">
        <v>7412</v>
      </c>
      <c r="T2044" s="12"/>
      <c r="U2044" s="10" t="str">
        <f>HYPERLINK("https://pbs.twimg.com/profile_images/1055389643242459137/CgdCLYKB.jpg","View")</f>
        <v>View</v>
      </c>
    </row>
    <row r="2045" spans="1:21" ht="20.399999999999999">
      <c r="A2045" s="6">
        <v>43426.684363425928</v>
      </c>
      <c r="B2045" s="7" t="str">
        <f>HYPERLINK("https://twitter.com/BEAMPOLO","@BEAMPOLO")</f>
        <v>@BEAMPOLO</v>
      </c>
      <c r="C2045" s="8" t="s">
        <v>7413</v>
      </c>
      <c r="D2045" s="9" t="s">
        <v>5414</v>
      </c>
      <c r="E2045" s="10" t="str">
        <f>HYPERLINK("https://twitter.com/BEAMPOLO/status/1065627334970130432","1065627334970130432")</f>
        <v>1065627334970130432</v>
      </c>
      <c r="F2045" s="11" t="s">
        <v>7414</v>
      </c>
      <c r="G2045" s="12"/>
      <c r="H2045" s="12"/>
      <c r="I2045" s="13">
        <v>0</v>
      </c>
      <c r="J2045" s="13">
        <v>2</v>
      </c>
      <c r="K2045" s="14" t="str">
        <f>HYPERLINK("http://twitter.com/download/android","Twitter for Android")</f>
        <v>Twitter for Android</v>
      </c>
      <c r="L2045" s="13">
        <v>537</v>
      </c>
      <c r="M2045" s="13">
        <v>1200</v>
      </c>
      <c r="N2045" s="13">
        <v>10</v>
      </c>
      <c r="O2045" s="15"/>
      <c r="P2045" s="6">
        <v>40470.696377314816</v>
      </c>
      <c r="Q2045" s="12"/>
      <c r="R2045" s="19"/>
      <c r="S2045" s="12"/>
      <c r="T2045" s="12"/>
      <c r="U2045" s="10" t="str">
        <f>HYPERLINK("https://pbs.twimg.com/profile_images/1051231352660643840/vrqSmaiq.jpg","View")</f>
        <v>View</v>
      </c>
    </row>
    <row r="2046" spans="1:21" ht="61.2">
      <c r="A2046" s="6">
        <v>43426.684236111112</v>
      </c>
      <c r="B2046" s="7" t="str">
        <f>HYPERLINK("https://twitter.com/david_segura","@david_segura")</f>
        <v>@david_segura</v>
      </c>
      <c r="C2046" s="8" t="s">
        <v>7415</v>
      </c>
      <c r="D2046" s="9" t="s">
        <v>7416</v>
      </c>
      <c r="E2046" s="10" t="str">
        <f>HYPERLINK("https://twitter.com/david_segura/status/1065627287931011073","1065627287931011073")</f>
        <v>1065627287931011073</v>
      </c>
      <c r="F2046" s="11" t="s">
        <v>7417</v>
      </c>
      <c r="G2046" s="11" t="s">
        <v>6680</v>
      </c>
      <c r="H2046" s="12"/>
      <c r="I2046" s="13">
        <v>0</v>
      </c>
      <c r="J2046" s="13">
        <v>0</v>
      </c>
      <c r="K2046" s="14" t="str">
        <f>HYPERLINK("http://twitter.com","Twitter Web Client")</f>
        <v>Twitter Web Client</v>
      </c>
      <c r="L2046" s="13">
        <v>7681</v>
      </c>
      <c r="M2046" s="13">
        <v>1995</v>
      </c>
      <c r="N2046" s="13">
        <v>160</v>
      </c>
      <c r="O2046" s="15"/>
      <c r="P2046" s="6">
        <v>40039.486377314817</v>
      </c>
      <c r="Q2046" s="17" t="s">
        <v>7418</v>
      </c>
      <c r="R2046" s="18" t="s">
        <v>7419</v>
      </c>
      <c r="S2046" s="12"/>
      <c r="T2046" s="12"/>
      <c r="U2046" s="10" t="str">
        <f>HYPERLINK("https://pbs.twimg.com/profile_images/1050682645322104832/ufp3NLHd.jpg","View")</f>
        <v>View</v>
      </c>
    </row>
    <row r="2047" spans="1:21" ht="51">
      <c r="A2047" s="6">
        <v>43426.684166666666</v>
      </c>
      <c r="B2047" s="7" t="str">
        <f>HYPERLINK("https://twitter.com/GeorgeBailey_17","@GeorgeBailey_17")</f>
        <v>@GeorgeBailey_17</v>
      </c>
      <c r="C2047" s="8" t="s">
        <v>7420</v>
      </c>
      <c r="D2047" s="9" t="s">
        <v>7421</v>
      </c>
      <c r="E2047" s="10" t="str">
        <f>HYPERLINK("https://twitter.com/GeorgeBailey_17/status/1065627264421961728","1065627264421961728")</f>
        <v>1065627264421961728</v>
      </c>
      <c r="F2047" s="12"/>
      <c r="G2047" s="12"/>
      <c r="H2047" s="12"/>
      <c r="I2047" s="13">
        <v>3</v>
      </c>
      <c r="J2047" s="13">
        <v>1</v>
      </c>
      <c r="K2047" s="14" t="str">
        <f>HYPERLINK("http://twitter.com/download/android","Twitter for Android")</f>
        <v>Twitter for Android</v>
      </c>
      <c r="L2047" s="13">
        <v>95</v>
      </c>
      <c r="M2047" s="13">
        <v>120</v>
      </c>
      <c r="N2047" s="13">
        <v>0</v>
      </c>
      <c r="O2047" s="15"/>
      <c r="P2047" s="6">
        <v>42744.405405092592</v>
      </c>
      <c r="Q2047" s="17" t="s">
        <v>7422</v>
      </c>
      <c r="R2047" s="19"/>
      <c r="S2047" s="12"/>
      <c r="T2047" s="12"/>
      <c r="U2047" s="10" t="str">
        <f>HYPERLINK("https://pbs.twimg.com/profile_images/818379356531818497/qGNwhWu6.jpg","View")</f>
        <v>View</v>
      </c>
    </row>
    <row r="2048" spans="1:21" ht="51">
      <c r="A2048" s="6">
        <v>43426.683865740742</v>
      </c>
      <c r="B2048" s="7" t="str">
        <f>HYPERLINK("https://twitter.com/NinaMimmie","@NinaMimmie")</f>
        <v>@NinaMimmie</v>
      </c>
      <c r="C2048" s="8" t="s">
        <v>7423</v>
      </c>
      <c r="D2048" s="9" t="s">
        <v>7424</v>
      </c>
      <c r="E2048" s="10" t="str">
        <f>HYPERLINK("https://twitter.com/NinaMimmie/status/1065627152656273408","1065627152656273408")</f>
        <v>1065627152656273408</v>
      </c>
      <c r="F2048" s="17" t="s">
        <v>7425</v>
      </c>
      <c r="G2048" s="12"/>
      <c r="H2048" s="12"/>
      <c r="I2048" s="13">
        <v>0</v>
      </c>
      <c r="J2048" s="13">
        <v>0</v>
      </c>
      <c r="K2048" s="14" t="str">
        <f>HYPERLINK("http://twitter.com/#!/download/ipad","Twitter for iPad")</f>
        <v>Twitter for iPad</v>
      </c>
      <c r="L2048" s="13">
        <v>604</v>
      </c>
      <c r="M2048" s="13">
        <v>577</v>
      </c>
      <c r="N2048" s="13">
        <v>12</v>
      </c>
      <c r="O2048" s="15"/>
      <c r="P2048" s="6">
        <v>40163.628055555557</v>
      </c>
      <c r="Q2048" s="17" t="s">
        <v>7426</v>
      </c>
      <c r="R2048" s="18" t="s">
        <v>7427</v>
      </c>
      <c r="S2048" s="12"/>
      <c r="T2048" s="12"/>
      <c r="U2048" s="10" t="str">
        <f>HYPERLINK("https://pbs.twimg.com/profile_images/920755234196148225/EmYroUnX.jpg","View")</f>
        <v>View</v>
      </c>
    </row>
    <row r="2049" spans="1:21" ht="40.799999999999997">
      <c r="A2049" s="6">
        <v>43426.683587962965</v>
      </c>
      <c r="B2049" s="7" t="str">
        <f>HYPERLINK("https://twitter.com/VergaraBuenoA","@VergaraBuenoA")</f>
        <v>@VergaraBuenoA</v>
      </c>
      <c r="C2049" s="8" t="s">
        <v>4646</v>
      </c>
      <c r="D2049" s="9" t="s">
        <v>7428</v>
      </c>
      <c r="E2049" s="10" t="str">
        <f>HYPERLINK("https://twitter.com/VergaraBuenoA/status/1065627053389750274","1065627053389750274")</f>
        <v>1065627053389750274</v>
      </c>
      <c r="F2049" s="11" t="s">
        <v>7429</v>
      </c>
      <c r="G2049" s="11" t="s">
        <v>7430</v>
      </c>
      <c r="H2049" s="12"/>
      <c r="I2049" s="13">
        <v>6</v>
      </c>
      <c r="J2049" s="13">
        <v>3</v>
      </c>
      <c r="K2049" s="14" t="str">
        <f>HYPERLINK("http://twitter.com","Twitter Web Client")</f>
        <v>Twitter Web Client</v>
      </c>
      <c r="L2049" s="13">
        <v>2161</v>
      </c>
      <c r="M2049" s="13">
        <v>1258</v>
      </c>
      <c r="N2049" s="13">
        <v>18</v>
      </c>
      <c r="O2049" s="15"/>
      <c r="P2049" s="6">
        <v>42691.912581018521</v>
      </c>
      <c r="Q2049" s="17" t="s">
        <v>40</v>
      </c>
      <c r="R2049" s="18" t="s">
        <v>4648</v>
      </c>
      <c r="S2049" s="11" t="s">
        <v>2704</v>
      </c>
      <c r="T2049" s="12"/>
      <c r="U2049" s="10" t="str">
        <f>HYPERLINK("https://pbs.twimg.com/profile_images/1036619845427593216/ocB8MXc7.jpg","View")</f>
        <v>View</v>
      </c>
    </row>
    <row r="2050" spans="1:21" ht="40.799999999999997">
      <c r="A2050" s="6">
        <v>43426.683368055557</v>
      </c>
      <c r="B2050" s="7" t="str">
        <f>HYPERLINK("https://twitter.com/diarioboadilla","@diarioboadilla")</f>
        <v>@diarioboadilla</v>
      </c>
      <c r="C2050" s="8" t="s">
        <v>7431</v>
      </c>
      <c r="D2050" s="9" t="s">
        <v>7158</v>
      </c>
      <c r="E2050" s="10" t="str">
        <f>HYPERLINK("https://twitter.com/diarioboadilla/status/1065626974704545793","1065626974704545793")</f>
        <v>1065626974704545793</v>
      </c>
      <c r="F2050" s="11" t="s">
        <v>7432</v>
      </c>
      <c r="G2050" s="11" t="s">
        <v>7433</v>
      </c>
      <c r="H2050" s="12"/>
      <c r="I2050" s="13">
        <v>0</v>
      </c>
      <c r="J2050" s="13">
        <v>0</v>
      </c>
      <c r="K2050" s="14" t="str">
        <f>HYPERLINK("http://www.diariodeboadilla.es","Publicaciones ddb")</f>
        <v>Publicaciones ddb</v>
      </c>
      <c r="L2050" s="13">
        <v>6958</v>
      </c>
      <c r="M2050" s="13">
        <v>44</v>
      </c>
      <c r="N2050" s="13">
        <v>103</v>
      </c>
      <c r="O2050" s="15"/>
      <c r="P2050" s="6">
        <v>40427.722546296296</v>
      </c>
      <c r="Q2050" s="17" t="s">
        <v>7434</v>
      </c>
      <c r="R2050" s="18" t="s">
        <v>7435</v>
      </c>
      <c r="S2050" s="11" t="s">
        <v>7436</v>
      </c>
      <c r="T2050" s="12"/>
      <c r="U2050" s="10" t="str">
        <f>HYPERLINK("https://pbs.twimg.com/profile_images/448827778373136384/5QAs4OGF.png","View")</f>
        <v>View</v>
      </c>
    </row>
    <row r="2051" spans="1:21" ht="40.799999999999997">
      <c r="A2051" s="6">
        <v>43426.68268518518</v>
      </c>
      <c r="B2051" s="7" t="str">
        <f>HYPERLINK("https://twitter.com/franciscorubira","@franciscorubira")</f>
        <v>@franciscorubira</v>
      </c>
      <c r="C2051" s="8" t="s">
        <v>7437</v>
      </c>
      <c r="D2051" s="9" t="s">
        <v>6042</v>
      </c>
      <c r="E2051" s="10" t="str">
        <f>HYPERLINK("https://twitter.com/franciscorubira/status/1065626724556128261","1065626724556128261")</f>
        <v>1065626724556128261</v>
      </c>
      <c r="F2051" s="11" t="s">
        <v>7438</v>
      </c>
      <c r="G2051" s="11" t="s">
        <v>7439</v>
      </c>
      <c r="H2051" s="12"/>
      <c r="I2051" s="13">
        <v>0</v>
      </c>
      <c r="J2051" s="13">
        <v>0</v>
      </c>
      <c r="K2051" s="14" t="str">
        <f>HYPERLINK("https://dlvrit.com/","dlvr.it")</f>
        <v>dlvr.it</v>
      </c>
      <c r="L2051" s="13">
        <v>2434</v>
      </c>
      <c r="M2051" s="13">
        <v>465</v>
      </c>
      <c r="N2051" s="13">
        <v>43</v>
      </c>
      <c r="O2051" s="15"/>
      <c r="P2051" s="6">
        <v>39871.859317129631</v>
      </c>
      <c r="Q2051" s="17" t="s">
        <v>1692</v>
      </c>
      <c r="R2051" s="18" t="s">
        <v>7440</v>
      </c>
      <c r="S2051" s="11" t="s">
        <v>7441</v>
      </c>
      <c r="T2051" s="12"/>
      <c r="U2051" s="10" t="str">
        <f>HYPERLINK("https://pbs.twimg.com/profile_images/3347587725/a033bb22fbb57ca30cfe28855cc75a4a.jpeg","View")</f>
        <v>View</v>
      </c>
    </row>
    <row r="2052" spans="1:21" ht="20.399999999999999">
      <c r="A2052" s="6">
        <v>43426.681805555556</v>
      </c>
      <c r="B2052" s="7" t="str">
        <f>HYPERLINK("https://twitter.com/CharlieSwatX","@CharlieSwatX")</f>
        <v>@CharlieSwatX</v>
      </c>
      <c r="C2052" s="8" t="s">
        <v>7442</v>
      </c>
      <c r="D2052" s="9" t="s">
        <v>7443</v>
      </c>
      <c r="E2052" s="10" t="str">
        <f>HYPERLINK("https://twitter.com/CharlieSwatX/status/1065626407991046144","1065626407991046144")</f>
        <v>1065626407991046144</v>
      </c>
      <c r="F2052" s="11" t="s">
        <v>7444</v>
      </c>
      <c r="G2052" s="12"/>
      <c r="H2052" s="12"/>
      <c r="I2052" s="13">
        <v>0</v>
      </c>
      <c r="J2052" s="13">
        <v>0</v>
      </c>
      <c r="K2052" s="14" t="str">
        <f>HYPERLINK("https://www.google.com/","Google")</f>
        <v>Google</v>
      </c>
      <c r="L2052" s="13">
        <v>34</v>
      </c>
      <c r="M2052" s="13">
        <v>46</v>
      </c>
      <c r="N2052" s="13">
        <v>2</v>
      </c>
      <c r="O2052" s="15"/>
      <c r="P2052" s="6">
        <v>42042.911909722221</v>
      </c>
      <c r="Q2052" s="17" t="s">
        <v>2338</v>
      </c>
      <c r="R2052" s="18" t="s">
        <v>7445</v>
      </c>
      <c r="S2052" s="11" t="s">
        <v>7446</v>
      </c>
      <c r="T2052" s="12"/>
      <c r="U2052" s="10" t="str">
        <f>HYPERLINK("https://pbs.twimg.com/profile_images/564166584890310657/KhCAe224.jpeg","View")</f>
        <v>View</v>
      </c>
    </row>
    <row r="2053" spans="1:21" ht="20.399999999999999">
      <c r="A2053" s="6">
        <v>43426.681446759263</v>
      </c>
      <c r="B2053" s="7" t="str">
        <f>HYPERLINK("https://twitter.com/monehiba","@monehiba")</f>
        <v>@monehiba</v>
      </c>
      <c r="C2053" s="8" t="s">
        <v>7447</v>
      </c>
      <c r="D2053" s="9" t="s">
        <v>6042</v>
      </c>
      <c r="E2053" s="10" t="str">
        <f>HYPERLINK("https://twitter.com/monehiba/status/1065626278173319169","1065626278173319169")</f>
        <v>1065626278173319169</v>
      </c>
      <c r="F2053" s="11" t="s">
        <v>7448</v>
      </c>
      <c r="G2053" s="12"/>
      <c r="H2053" s="12"/>
      <c r="I2053" s="13">
        <v>0</v>
      </c>
      <c r="J2053" s="13">
        <v>0</v>
      </c>
      <c r="K2053" s="14" t="str">
        <f>HYPERLINK("http://www.facebook.com/twitter","Facebook")</f>
        <v>Facebook</v>
      </c>
      <c r="L2053" s="13">
        <v>550</v>
      </c>
      <c r="M2053" s="13">
        <v>1658</v>
      </c>
      <c r="N2053" s="13">
        <v>7</v>
      </c>
      <c r="O2053" s="15"/>
      <c r="P2053" s="6">
        <v>40552.884398148148</v>
      </c>
      <c r="Q2053" s="17" t="s">
        <v>7449</v>
      </c>
      <c r="R2053" s="18" t="s">
        <v>7450</v>
      </c>
      <c r="S2053" s="12"/>
      <c r="T2053" s="12"/>
      <c r="U2053" s="10" t="str">
        <f>HYPERLINK("https://pbs.twimg.com/profile_images/449274943914532864/uE5AfLyG.jpeg","View")</f>
        <v>View</v>
      </c>
    </row>
    <row r="2054" spans="1:21" ht="40.799999999999997">
      <c r="A2054" s="6">
        <v>43426.681388888886</v>
      </c>
      <c r="B2054" s="7" t="str">
        <f>HYPERLINK("https://twitter.com/gcareaga18","@gcareaga18")</f>
        <v>@gcareaga18</v>
      </c>
      <c r="C2054" s="8" t="s">
        <v>1373</v>
      </c>
      <c r="D2054" s="9" t="s">
        <v>7451</v>
      </c>
      <c r="E2054" s="10" t="str">
        <f>HYPERLINK("https://twitter.com/gcareaga18/status/1065626254060195840","1065626254060195840")</f>
        <v>1065626254060195840</v>
      </c>
      <c r="F2054" s="11" t="s">
        <v>6919</v>
      </c>
      <c r="G2054" s="12"/>
      <c r="H2054" s="12"/>
      <c r="I2054" s="13">
        <v>0</v>
      </c>
      <c r="J2054" s="13">
        <v>0</v>
      </c>
      <c r="K2054" s="14" t="str">
        <f>HYPERLINK("https://ifttt.com","IFTTT")</f>
        <v>IFTTT</v>
      </c>
      <c r="L2054" s="13">
        <v>47</v>
      </c>
      <c r="M2054" s="13">
        <v>200</v>
      </c>
      <c r="N2054" s="13">
        <v>1</v>
      </c>
      <c r="O2054" s="15"/>
      <c r="P2054" s="6">
        <v>41888.012986111113</v>
      </c>
      <c r="Q2054" s="17" t="s">
        <v>497</v>
      </c>
      <c r="R2054" s="18" t="s">
        <v>1376</v>
      </c>
      <c r="S2054" s="12"/>
      <c r="T2054" s="12"/>
      <c r="U2054" s="10" t="str">
        <f>HYPERLINK("https://pbs.twimg.com/profile_images/984612980334702592/3NYg9Rnm.jpg","View")</f>
        <v>View</v>
      </c>
    </row>
    <row r="2055" spans="1:21" ht="81.599999999999994">
      <c r="A2055" s="6">
        <v>43426.680972222224</v>
      </c>
      <c r="B2055" s="7" t="str">
        <f>HYPERLINK("https://twitter.com/IlusanmaSanchez","@IlusanmaSanchez")</f>
        <v>@IlusanmaSanchez</v>
      </c>
      <c r="C2055" s="8" t="s">
        <v>7452</v>
      </c>
      <c r="D2055" s="9" t="s">
        <v>7453</v>
      </c>
      <c r="E2055" s="10" t="str">
        <f>HYPERLINK("https://twitter.com/IlusanmaSanchez/status/1065626103354667008","1065626103354667008")</f>
        <v>1065626103354667008</v>
      </c>
      <c r="F2055" s="11" t="s">
        <v>7454</v>
      </c>
      <c r="G2055" s="11" t="s">
        <v>7455</v>
      </c>
      <c r="H2055" s="12"/>
      <c r="I2055" s="13">
        <v>0</v>
      </c>
      <c r="J2055" s="13">
        <v>3</v>
      </c>
      <c r="K2055" s="14" t="str">
        <f>HYPERLINK("http://twitter.com/download/android","Twitter for Android")</f>
        <v>Twitter for Android</v>
      </c>
      <c r="L2055" s="13">
        <v>514</v>
      </c>
      <c r="M2055" s="13">
        <v>1130</v>
      </c>
      <c r="N2055" s="13">
        <v>13</v>
      </c>
      <c r="O2055" s="15"/>
      <c r="P2055" s="6">
        <v>40462.941504629627</v>
      </c>
      <c r="Q2055" s="17" t="s">
        <v>28</v>
      </c>
      <c r="R2055" s="18" t="s">
        <v>7456</v>
      </c>
      <c r="S2055" s="12"/>
      <c r="T2055" s="12"/>
      <c r="U2055" s="10" t="str">
        <f>HYPERLINK("https://pbs.twimg.com/profile_images/844137789352542208/Hg5QbA-f.jpg","View")</f>
        <v>View</v>
      </c>
    </row>
    <row r="2056" spans="1:21" ht="40.799999999999997">
      <c r="A2056" s="6">
        <v>43426.68068287037</v>
      </c>
      <c r="B2056" s="7" t="str">
        <f>HYPERLINK("https://twitter.com/cherines_pp","@cherines_pp")</f>
        <v>@cherines_pp</v>
      </c>
      <c r="C2056" s="8" t="s">
        <v>7457</v>
      </c>
      <c r="D2056" s="9" t="s">
        <v>7458</v>
      </c>
      <c r="E2056" s="10" t="str">
        <f>HYPERLINK("https://twitter.com/cherines_pp/status/1065625998245404673","1065625998245404673")</f>
        <v>1065625998245404673</v>
      </c>
      <c r="F2056" s="11" t="s">
        <v>7459</v>
      </c>
      <c r="G2056" s="12"/>
      <c r="H2056" s="12"/>
      <c r="I2056" s="13">
        <v>23</v>
      </c>
      <c r="J2056" s="13">
        <v>25</v>
      </c>
      <c r="K2056" s="14" t="str">
        <f t="shared" ref="K2056:K2057" si="340">HYPERLINK("http://twitter.com/download/iphone","Twitter for iPhone")</f>
        <v>Twitter for iPhone</v>
      </c>
      <c r="L2056" s="13">
        <v>6002</v>
      </c>
      <c r="M2056" s="13">
        <v>2141</v>
      </c>
      <c r="N2056" s="13">
        <v>127</v>
      </c>
      <c r="O2056" s="16" t="s">
        <v>26</v>
      </c>
      <c r="P2056" s="6">
        <v>40978.688506944447</v>
      </c>
      <c r="Q2056" s="17" t="s">
        <v>2842</v>
      </c>
      <c r="R2056" s="18" t="s">
        <v>7460</v>
      </c>
      <c r="S2056" s="11" t="s">
        <v>7461</v>
      </c>
      <c r="T2056" s="12"/>
      <c r="U2056" s="10" t="str">
        <f>HYPERLINK("https://pbs.twimg.com/profile_images/875673176772136960/Hfm6KzeQ.jpg","View")</f>
        <v>View</v>
      </c>
    </row>
    <row r="2057" spans="1:21" ht="30.6">
      <c r="A2057" s="6">
        <v>43426.680648148147</v>
      </c>
      <c r="B2057" s="7" t="str">
        <f>HYPERLINK("https://twitter.com/K_A_Usuaria","@K_A_Usuaria")</f>
        <v>@K_A_Usuaria</v>
      </c>
      <c r="C2057" s="8" t="s">
        <v>7462</v>
      </c>
      <c r="D2057" s="9" t="s">
        <v>7463</v>
      </c>
      <c r="E2057" s="10" t="str">
        <f>HYPERLINK("https://twitter.com/K_A_Usuaria/status/1065625988476870661","1065625988476870661")</f>
        <v>1065625988476870661</v>
      </c>
      <c r="F2057" s="11" t="s">
        <v>2352</v>
      </c>
      <c r="G2057" s="12"/>
      <c r="H2057" s="12"/>
      <c r="I2057" s="13">
        <v>0</v>
      </c>
      <c r="J2057" s="13">
        <v>0</v>
      </c>
      <c r="K2057" s="14" t="str">
        <f t="shared" si="340"/>
        <v>Twitter for iPhone</v>
      </c>
      <c r="L2057" s="13">
        <v>143</v>
      </c>
      <c r="M2057" s="13">
        <v>922</v>
      </c>
      <c r="N2057" s="13">
        <v>24</v>
      </c>
      <c r="O2057" s="15"/>
      <c r="P2057" s="6">
        <v>41449.547037037039</v>
      </c>
      <c r="Q2057" s="12"/>
      <c r="R2057" s="19"/>
      <c r="S2057" s="12"/>
      <c r="T2057" s="12"/>
      <c r="U2057" s="10" t="str">
        <f>HYPERLINK("https://pbs.twimg.com/profile_images/378800000625952735/9cb0abbcae681b5da26758654155c2f5.jpeg","View")</f>
        <v>View</v>
      </c>
    </row>
    <row r="2058" spans="1:21" ht="20.399999999999999">
      <c r="A2058" s="6">
        <v>43426.680451388893</v>
      </c>
      <c r="B2058" s="7" t="str">
        <f>HYPERLINK("https://twitter.com/elcuestin","@elcuestin")</f>
        <v>@elcuestin</v>
      </c>
      <c r="C2058" s="8" t="s">
        <v>7464</v>
      </c>
      <c r="D2058" s="9" t="s">
        <v>7465</v>
      </c>
      <c r="E2058" s="10" t="str">
        <f>HYPERLINK("https://twitter.com/elcuestin/status/1065625915001094144","1065625915001094144")</f>
        <v>1065625915001094144</v>
      </c>
      <c r="F2058" s="11" t="s">
        <v>7055</v>
      </c>
      <c r="G2058" s="12"/>
      <c r="H2058" s="12"/>
      <c r="I2058" s="13">
        <v>0</v>
      </c>
      <c r="J2058" s="13">
        <v>0</v>
      </c>
      <c r="K2058" s="14" t="str">
        <f>HYPERLINK("http://twitter.com","Twitter Web Client")</f>
        <v>Twitter Web Client</v>
      </c>
      <c r="L2058" s="13">
        <v>393</v>
      </c>
      <c r="M2058" s="13">
        <v>783</v>
      </c>
      <c r="N2058" s="13">
        <v>8</v>
      </c>
      <c r="O2058" s="15"/>
      <c r="P2058" s="6">
        <v>41998.559687500005</v>
      </c>
      <c r="Q2058" s="12"/>
      <c r="R2058" s="19"/>
      <c r="S2058" s="12"/>
      <c r="T2058" s="12"/>
      <c r="U2058" s="10" t="str">
        <f>HYPERLINK("https://pbs.twimg.com/profile_images/549945155512324099/0o1aVO2Q.jpeg","View")</f>
        <v>View</v>
      </c>
    </row>
    <row r="2059" spans="1:21" ht="51">
      <c r="A2059" s="6">
        <v>43426.680335648147</v>
      </c>
      <c r="B2059" s="7" t="str">
        <f>HYPERLINK("https://twitter.com/RadioTaxiJaen","@RadioTaxiJaen")</f>
        <v>@RadioTaxiJaen</v>
      </c>
      <c r="C2059" s="8" t="s">
        <v>7466</v>
      </c>
      <c r="D2059" s="9" t="s">
        <v>7467</v>
      </c>
      <c r="E2059" s="10" t="str">
        <f>HYPERLINK("https://twitter.com/RadioTaxiJaen/status/1065625876128301057","1065625876128301057")</f>
        <v>1065625876128301057</v>
      </c>
      <c r="F2059" s="12"/>
      <c r="G2059" s="11" t="s">
        <v>7468</v>
      </c>
      <c r="H2059" s="12"/>
      <c r="I2059" s="13">
        <v>2</v>
      </c>
      <c r="J2059" s="13">
        <v>6</v>
      </c>
      <c r="K2059" s="14" t="str">
        <f>HYPERLINK("http://twitter.com/download/android","Twitter for Android")</f>
        <v>Twitter for Android</v>
      </c>
      <c r="L2059" s="13">
        <v>2780</v>
      </c>
      <c r="M2059" s="13">
        <v>3391</v>
      </c>
      <c r="N2059" s="13">
        <v>22</v>
      </c>
      <c r="O2059" s="15"/>
      <c r="P2059" s="6">
        <v>41191.849351851852</v>
      </c>
      <c r="Q2059" s="17" t="s">
        <v>1960</v>
      </c>
      <c r="R2059" s="18" t="s">
        <v>7469</v>
      </c>
      <c r="S2059" s="11" t="s">
        <v>7470</v>
      </c>
      <c r="T2059" s="12"/>
      <c r="U2059" s="10" t="str">
        <f>HYPERLINK("https://pbs.twimg.com/profile_images/1054637230747201536/Jpn-6Uaw.jpg","View")</f>
        <v>View</v>
      </c>
    </row>
    <row r="2060" spans="1:21" ht="30.6">
      <c r="A2060" s="6">
        <v>43426.679722222223</v>
      </c>
      <c r="B2060" s="7" t="str">
        <f>HYPERLINK("https://twitter.com/PPopular","@PPopular")</f>
        <v>@PPopular</v>
      </c>
      <c r="C2060" s="8" t="s">
        <v>2812</v>
      </c>
      <c r="D2060" s="9" t="s">
        <v>7408</v>
      </c>
      <c r="E2060" s="10" t="str">
        <f>HYPERLINK("https://twitter.com/PPopular/status/1065625652559339521","1065625652559339521")</f>
        <v>1065625652559339521</v>
      </c>
      <c r="F2060" s="12"/>
      <c r="G2060" s="11" t="s">
        <v>6935</v>
      </c>
      <c r="H2060" s="12"/>
      <c r="I2060" s="13">
        <v>500</v>
      </c>
      <c r="J2060" s="13">
        <v>740</v>
      </c>
      <c r="K2060" s="14" t="str">
        <f t="shared" ref="K2060:K2061" si="341">HYPERLINK("http://twitter.com","Twitter Web Client")</f>
        <v>Twitter Web Client</v>
      </c>
      <c r="L2060" s="13">
        <v>675612</v>
      </c>
      <c r="M2060" s="13">
        <v>4429</v>
      </c>
      <c r="N2060" s="13">
        <v>4624</v>
      </c>
      <c r="O2060" s="16" t="s">
        <v>26</v>
      </c>
      <c r="P2060" s="6">
        <v>39854.559571759259</v>
      </c>
      <c r="Q2060" s="17" t="s">
        <v>27</v>
      </c>
      <c r="R2060" s="18" t="s">
        <v>2817</v>
      </c>
      <c r="S2060" s="11" t="s">
        <v>2818</v>
      </c>
      <c r="T2060" s="12"/>
      <c r="U2060" s="10" t="str">
        <f>HYPERLINK("https://pbs.twimg.com/profile_images/1053405499130068992/J8rl56pW.jpg","View")</f>
        <v>View</v>
      </c>
    </row>
    <row r="2061" spans="1:21" ht="40.799999999999997">
      <c r="A2061" s="6">
        <v>43426.679097222222</v>
      </c>
      <c r="B2061" s="7" t="str">
        <f>HYPERLINK("https://twitter.com/Gacetinmadrid","@Gacetinmadrid")</f>
        <v>@Gacetinmadrid</v>
      </c>
      <c r="C2061" s="8" t="s">
        <v>6978</v>
      </c>
      <c r="D2061" s="9" t="s">
        <v>6979</v>
      </c>
      <c r="E2061" s="10" t="str">
        <f>HYPERLINK("https://twitter.com/Gacetinmadrid/status/1065625425488027648","1065625425488027648")</f>
        <v>1065625425488027648</v>
      </c>
      <c r="F2061" s="11" t="s">
        <v>6980</v>
      </c>
      <c r="G2061" s="12"/>
      <c r="H2061" s="12"/>
      <c r="I2061" s="13">
        <v>2</v>
      </c>
      <c r="J2061" s="13">
        <v>2</v>
      </c>
      <c r="K2061" s="14" t="str">
        <f t="shared" si="341"/>
        <v>Twitter Web Client</v>
      </c>
      <c r="L2061" s="13">
        <v>12003</v>
      </c>
      <c r="M2061" s="13">
        <v>8706</v>
      </c>
      <c r="N2061" s="13">
        <v>173</v>
      </c>
      <c r="O2061" s="15"/>
      <c r="P2061" s="6">
        <v>42449.737523148149</v>
      </c>
      <c r="Q2061" s="17" t="s">
        <v>141</v>
      </c>
      <c r="R2061" s="18" t="s">
        <v>6981</v>
      </c>
      <c r="S2061" s="11" t="s">
        <v>6983</v>
      </c>
      <c r="T2061" s="12"/>
      <c r="U2061" s="10" t="str">
        <f>HYPERLINK("https://pbs.twimg.com/profile_images/851123807649714177/RCQQwbT1.jpg","View")</f>
        <v>View</v>
      </c>
    </row>
    <row r="2062" spans="1:21" ht="40.799999999999997">
      <c r="A2062" s="6">
        <v>43426.678784722222</v>
      </c>
      <c r="B2062" s="7" t="str">
        <f>HYPERLINK("https://twitter.com/Elerre2015","@Elerre2015")</f>
        <v>@Elerre2015</v>
      </c>
      <c r="C2062" s="8" t="s">
        <v>6985</v>
      </c>
      <c r="D2062" s="9" t="s">
        <v>6986</v>
      </c>
      <c r="E2062" s="10" t="str">
        <f>HYPERLINK("https://twitter.com/Elerre2015/status/1065625312397021184","1065625312397021184")</f>
        <v>1065625312397021184</v>
      </c>
      <c r="F2062" s="12"/>
      <c r="G2062" s="11" t="s">
        <v>6987</v>
      </c>
      <c r="H2062" s="12"/>
      <c r="I2062" s="13">
        <v>9</v>
      </c>
      <c r="J2062" s="13">
        <v>12</v>
      </c>
      <c r="K2062" s="14" t="str">
        <f>HYPERLINK("https://postcron.com","Postcron App")</f>
        <v>Postcron App</v>
      </c>
      <c r="L2062" s="13">
        <v>941</v>
      </c>
      <c r="M2062" s="13">
        <v>3625</v>
      </c>
      <c r="N2062" s="13">
        <v>9</v>
      </c>
      <c r="O2062" s="15"/>
      <c r="P2062" s="6">
        <v>41946.382407407407</v>
      </c>
      <c r="Q2062" s="12"/>
      <c r="R2062" s="18" t="s">
        <v>6988</v>
      </c>
      <c r="S2062" s="11" t="s">
        <v>6989</v>
      </c>
      <c r="T2062" s="12"/>
      <c r="U2062" s="10" t="str">
        <f>HYPERLINK("https://pbs.twimg.com/profile_images/839580755328032768/pmE7HnSF.jpg","View")</f>
        <v>View</v>
      </c>
    </row>
    <row r="2063" spans="1:21" ht="51">
      <c r="A2063" s="6">
        <v>43426.67800925926</v>
      </c>
      <c r="B2063" s="7" t="str">
        <f>HYPERLINK("https://twitter.com/Xananxo59","@Xananxo59")</f>
        <v>@Xananxo59</v>
      </c>
      <c r="C2063" s="8" t="s">
        <v>7471</v>
      </c>
      <c r="D2063" s="9" t="s">
        <v>7472</v>
      </c>
      <c r="E2063" s="10" t="str">
        <f>HYPERLINK("https://twitter.com/Xananxo59/status/1065625032712437760","1065625032712437760")</f>
        <v>1065625032712437760</v>
      </c>
      <c r="F2063" s="12"/>
      <c r="G2063" s="12"/>
      <c r="H2063" s="12"/>
      <c r="I2063" s="13">
        <v>0</v>
      </c>
      <c r="J2063" s="13">
        <v>0</v>
      </c>
      <c r="K2063" s="14" t="str">
        <f>HYPERLINK("http://twitter.com/download/android","Twitter for Android")</f>
        <v>Twitter for Android</v>
      </c>
      <c r="L2063" s="13">
        <v>42</v>
      </c>
      <c r="M2063" s="13">
        <v>124</v>
      </c>
      <c r="N2063" s="13">
        <v>0</v>
      </c>
      <c r="O2063" s="15"/>
      <c r="P2063" s="6">
        <v>42381.989861111113</v>
      </c>
      <c r="Q2063" s="12"/>
      <c r="R2063" s="18" t="s">
        <v>7473</v>
      </c>
      <c r="S2063" s="12"/>
      <c r="T2063" s="12"/>
      <c r="U2063" s="10" t="str">
        <f>HYPERLINK("https://pbs.twimg.com/profile_images/936673113496047616/dY2nvcwQ.jpg","View")</f>
        <v>View</v>
      </c>
    </row>
    <row r="2064" spans="1:21" ht="40.799999999999997">
      <c r="A2064" s="6">
        <v>43426.677905092598</v>
      </c>
      <c r="B2064" s="7" t="str">
        <f>HYPERLINK("https://twitter.com/periodista75","@periodista75")</f>
        <v>@periodista75</v>
      </c>
      <c r="C2064" s="8" t="s">
        <v>7474</v>
      </c>
      <c r="D2064" s="9" t="s">
        <v>3568</v>
      </c>
      <c r="E2064" s="10" t="str">
        <f>HYPERLINK("https://twitter.com/periodista75/status/1065624992421945344","1065624992421945344")</f>
        <v>1065624992421945344</v>
      </c>
      <c r="F2064" s="11" t="s">
        <v>7475</v>
      </c>
      <c r="G2064" s="12"/>
      <c r="H2064" s="12"/>
      <c r="I2064" s="13">
        <v>0</v>
      </c>
      <c r="J2064" s="13">
        <v>1</v>
      </c>
      <c r="K2064" s="14" t="str">
        <f t="shared" ref="K2064:K2066" si="342">HYPERLINK("http://twitter.com","Twitter Web Client")</f>
        <v>Twitter Web Client</v>
      </c>
      <c r="L2064" s="13">
        <v>1495</v>
      </c>
      <c r="M2064" s="13">
        <v>1569</v>
      </c>
      <c r="N2064" s="13">
        <v>22</v>
      </c>
      <c r="O2064" s="15"/>
      <c r="P2064" s="6">
        <v>40563.599907407406</v>
      </c>
      <c r="Q2064" s="17" t="s">
        <v>7476</v>
      </c>
      <c r="R2064" s="18" t="s">
        <v>7477</v>
      </c>
      <c r="S2064" s="11" t="s">
        <v>7478</v>
      </c>
      <c r="T2064" s="12"/>
      <c r="U2064" s="10" t="str">
        <f>HYPERLINK("https://pbs.twimg.com/profile_images/584857268967071745/v9ICyzkS.jpg","View")</f>
        <v>View</v>
      </c>
    </row>
    <row r="2065" spans="1:21" ht="30.6">
      <c r="A2065" s="6">
        <v>43426.677719907406</v>
      </c>
      <c r="B2065" s="7" t="str">
        <f>HYPERLINK("https://twitter.com/corsario2525","@corsario2525")</f>
        <v>@corsario2525</v>
      </c>
      <c r="C2065" s="8" t="s">
        <v>7479</v>
      </c>
      <c r="D2065" s="9" t="s">
        <v>7480</v>
      </c>
      <c r="E2065" s="10" t="str">
        <f>HYPERLINK("https://twitter.com/corsario2525/status/1065624927364108288","1065624927364108288")</f>
        <v>1065624927364108288</v>
      </c>
      <c r="F2065" s="11" t="s">
        <v>7481</v>
      </c>
      <c r="G2065" s="12"/>
      <c r="H2065" s="12"/>
      <c r="I2065" s="13">
        <v>0</v>
      </c>
      <c r="J2065" s="13">
        <v>0</v>
      </c>
      <c r="K2065" s="14" t="str">
        <f t="shared" si="342"/>
        <v>Twitter Web Client</v>
      </c>
      <c r="L2065" s="13">
        <v>1267</v>
      </c>
      <c r="M2065" s="13">
        <v>1219</v>
      </c>
      <c r="N2065" s="13">
        <v>8</v>
      </c>
      <c r="O2065" s="15"/>
      <c r="P2065" s="6">
        <v>42229.739305555559</v>
      </c>
      <c r="Q2065" s="17" t="s">
        <v>7482</v>
      </c>
      <c r="R2065" s="18" t="s">
        <v>7483</v>
      </c>
      <c r="S2065" s="12"/>
      <c r="T2065" s="12"/>
      <c r="U2065" s="10" t="str">
        <f>HYPERLINK("https://pbs.twimg.com/profile_images/634390276245704704/K9Gwwfrd.jpg","View")</f>
        <v>View</v>
      </c>
    </row>
    <row r="2066" spans="1:21" ht="30.6">
      <c r="A2066" s="6">
        <v>43426.677118055552</v>
      </c>
      <c r="B2066" s="7" t="str">
        <f>HYPERLINK("https://twitter.com/Hortanoticias","@Hortanoticias")</f>
        <v>@Hortanoticias</v>
      </c>
      <c r="C2066" s="8" t="s">
        <v>7484</v>
      </c>
      <c r="D2066" s="9" t="s">
        <v>7485</v>
      </c>
      <c r="E2066" s="10" t="str">
        <f>HYPERLINK("https://twitter.com/Hortanoticias/status/1065624708912218113","1065624708912218113")</f>
        <v>1065624708912218113</v>
      </c>
      <c r="F2066" s="11" t="s">
        <v>7486</v>
      </c>
      <c r="G2066" s="11" t="s">
        <v>7487</v>
      </c>
      <c r="H2066" s="12"/>
      <c r="I2066" s="13">
        <v>3</v>
      </c>
      <c r="J2066" s="13">
        <v>4</v>
      </c>
      <c r="K2066" s="14" t="str">
        <f t="shared" si="342"/>
        <v>Twitter Web Client</v>
      </c>
      <c r="L2066" s="13">
        <v>12242</v>
      </c>
      <c r="M2066" s="13">
        <v>3153</v>
      </c>
      <c r="N2066" s="13">
        <v>298</v>
      </c>
      <c r="O2066" s="15"/>
      <c r="P2066" s="6">
        <v>39818.528553240743</v>
      </c>
      <c r="Q2066" s="17" t="s">
        <v>7488</v>
      </c>
      <c r="R2066" s="18" t="s">
        <v>7489</v>
      </c>
      <c r="S2066" s="11" t="s">
        <v>7490</v>
      </c>
      <c r="T2066" s="12"/>
      <c r="U2066" s="10" t="str">
        <f>HYPERLINK("https://pbs.twimg.com/profile_images/669828511067189248/ywO45juK.jpg","View")</f>
        <v>View</v>
      </c>
    </row>
    <row r="2067" spans="1:21" ht="30.6">
      <c r="A2067" s="6">
        <v>43426.677083333328</v>
      </c>
      <c r="B2067" s="7" t="str">
        <f>HYPERLINK("https://twitter.com/elpais_opinion","@elpais_opinion")</f>
        <v>@elpais_opinion</v>
      </c>
      <c r="C2067" s="8" t="s">
        <v>7491</v>
      </c>
      <c r="D2067" s="9" t="s">
        <v>7492</v>
      </c>
      <c r="E2067" s="10" t="str">
        <f>HYPERLINK("https://twitter.com/elpais_opinion/status/1065624695377149955","1065624695377149955")</f>
        <v>1065624695377149955</v>
      </c>
      <c r="F2067" s="11" t="s">
        <v>7493</v>
      </c>
      <c r="G2067" s="12"/>
      <c r="H2067" s="12"/>
      <c r="I2067" s="13">
        <v>8</v>
      </c>
      <c r="J2067" s="13">
        <v>6</v>
      </c>
      <c r="K2067" s="14" t="str">
        <f>HYPERLINK("https://about.twitter.com/products/tweetdeck","TweetDeck")</f>
        <v>TweetDeck</v>
      </c>
      <c r="L2067" s="13">
        <v>15844</v>
      </c>
      <c r="M2067" s="13">
        <v>502</v>
      </c>
      <c r="N2067" s="13">
        <v>310</v>
      </c>
      <c r="O2067" s="16" t="s">
        <v>26</v>
      </c>
      <c r="P2067" s="6">
        <v>42079.752430555556</v>
      </c>
      <c r="Q2067" s="12"/>
      <c r="R2067" s="18" t="s">
        <v>7494</v>
      </c>
      <c r="S2067" s="11" t="s">
        <v>7495</v>
      </c>
      <c r="T2067" s="12"/>
      <c r="U2067" s="10" t="str">
        <f>HYPERLINK("https://pbs.twimg.com/profile_images/917338666107842560/vKH6bCcF.jpg","View")</f>
        <v>View</v>
      </c>
    </row>
    <row r="2068" spans="1:21" ht="51">
      <c r="A2068" s="6">
        <v>43426.676215277781</v>
      </c>
      <c r="B2068" s="7" t="str">
        <f>HYPERLINK("https://twitter.com/CMM_noticias","@CMM_noticias")</f>
        <v>@CMM_noticias</v>
      </c>
      <c r="C2068" s="8" t="s">
        <v>7496</v>
      </c>
      <c r="D2068" s="9" t="s">
        <v>7497</v>
      </c>
      <c r="E2068" s="10" t="str">
        <f>HYPERLINK("https://twitter.com/CMM_noticias/status/1065624382335315975","1065624382335315975")</f>
        <v>1065624382335315975</v>
      </c>
      <c r="F2068" s="12"/>
      <c r="G2068" s="11" t="s">
        <v>7498</v>
      </c>
      <c r="H2068" s="12"/>
      <c r="I2068" s="13">
        <v>0</v>
      </c>
      <c r="J2068" s="13">
        <v>0</v>
      </c>
      <c r="K2068" s="14" t="str">
        <f t="shared" ref="K2068:K2069" si="343">HYPERLINK("http://twitter.com","Twitter Web Client")</f>
        <v>Twitter Web Client</v>
      </c>
      <c r="L2068" s="13">
        <v>8335</v>
      </c>
      <c r="M2068" s="13">
        <v>641</v>
      </c>
      <c r="N2068" s="13">
        <v>117</v>
      </c>
      <c r="O2068" s="16" t="s">
        <v>26</v>
      </c>
      <c r="P2068" s="6">
        <v>42045.504745370374</v>
      </c>
      <c r="Q2068" s="17" t="s">
        <v>7499</v>
      </c>
      <c r="R2068" s="18" t="s">
        <v>7500</v>
      </c>
      <c r="S2068" s="11" t="s">
        <v>7501</v>
      </c>
      <c r="T2068" s="12"/>
      <c r="U2068" s="10" t="str">
        <f>HYPERLINK("https://pbs.twimg.com/profile_images/905426568566235136/Ewzr6XNF.jpg","View")</f>
        <v>View</v>
      </c>
    </row>
    <row r="2069" spans="1:21" ht="40.799999999999997">
      <c r="A2069" s="6">
        <v>43426.676111111112</v>
      </c>
      <c r="B2069" s="7" t="str">
        <f>HYPERLINK("https://twitter.com/yoanisanchez","@yoanisanchez")</f>
        <v>@yoanisanchez</v>
      </c>
      <c r="C2069" s="8" t="s">
        <v>170</v>
      </c>
      <c r="D2069" s="9" t="s">
        <v>7451</v>
      </c>
      <c r="E2069" s="10" t="str">
        <f>HYPERLINK("https://twitter.com/yoanisanchez/status/1065624342518730754","1065624342518730754")</f>
        <v>1065624342518730754</v>
      </c>
      <c r="F2069" s="11" t="s">
        <v>6919</v>
      </c>
      <c r="G2069" s="12"/>
      <c r="H2069" s="12"/>
      <c r="I2069" s="13">
        <v>29</v>
      </c>
      <c r="J2069" s="13">
        <v>40</v>
      </c>
      <c r="K2069" s="14" t="str">
        <f t="shared" si="343"/>
        <v>Twitter Web Client</v>
      </c>
      <c r="L2069" s="13">
        <v>756016</v>
      </c>
      <c r="M2069" s="13">
        <v>83952</v>
      </c>
      <c r="N2069" s="13">
        <v>9394</v>
      </c>
      <c r="O2069" s="16" t="s">
        <v>26</v>
      </c>
      <c r="P2069" s="6">
        <v>39685.015219907407</v>
      </c>
      <c r="Q2069" s="17" t="s">
        <v>40</v>
      </c>
      <c r="R2069" s="18" t="s">
        <v>173</v>
      </c>
      <c r="S2069" s="11" t="s">
        <v>174</v>
      </c>
      <c r="T2069" s="12"/>
      <c r="U2069" s="10" t="str">
        <f>HYPERLINK("https://pbs.twimg.com/profile_images/932259310108753920/LQ1YpmBM.jpg","View")</f>
        <v>View</v>
      </c>
    </row>
    <row r="2070" spans="1:21" ht="20.399999999999999">
      <c r="A2070" s="6">
        <v>43426.675891203704</v>
      </c>
      <c r="B2070" s="7" t="str">
        <f>HYPERLINK("https://twitter.com/sanchezsequeros","@sanchezsequeros")</f>
        <v>@sanchezsequeros</v>
      </c>
      <c r="C2070" s="8" t="s">
        <v>7502</v>
      </c>
      <c r="D2070" s="9" t="s">
        <v>5073</v>
      </c>
      <c r="E2070" s="10" t="str">
        <f>HYPERLINK("https://twitter.com/sanchezsequeros/status/1065624265809149952","1065624265809149952")</f>
        <v>1065624265809149952</v>
      </c>
      <c r="F2070" s="11" t="s">
        <v>607</v>
      </c>
      <c r="G2070" s="12"/>
      <c r="H2070" s="12"/>
      <c r="I2070" s="13">
        <v>0</v>
      </c>
      <c r="J2070" s="13">
        <v>0</v>
      </c>
      <c r="K2070" s="14" t="str">
        <f>HYPERLINK("http://twitter.com/download/android","Twitter for Android")</f>
        <v>Twitter for Android</v>
      </c>
      <c r="L2070" s="13">
        <v>1608</v>
      </c>
      <c r="M2070" s="13">
        <v>1437</v>
      </c>
      <c r="N2070" s="13">
        <v>23</v>
      </c>
      <c r="O2070" s="15"/>
      <c r="P2070" s="6">
        <v>40816.660833333335</v>
      </c>
      <c r="Q2070" s="17" t="s">
        <v>7503</v>
      </c>
      <c r="R2070" s="18" t="s">
        <v>7504</v>
      </c>
      <c r="S2070" s="12"/>
      <c r="T2070" s="12"/>
      <c r="U2070" s="10" t="str">
        <f>HYPERLINK("https://pbs.twimg.com/profile_images/1053569248902160384/QbO6T729.jpg","View")</f>
        <v>View</v>
      </c>
    </row>
    <row r="2071" spans="1:21" ht="40.799999999999997">
      <c r="A2071" s="6">
        <v>43426.675740740742</v>
      </c>
      <c r="B2071" s="7" t="str">
        <f>HYPERLINK("https://twitter.com/anpbcn","@anpbcn")</f>
        <v>@anpbcn</v>
      </c>
      <c r="C2071" s="8" t="s">
        <v>7505</v>
      </c>
      <c r="D2071" s="9" t="s">
        <v>7506</v>
      </c>
      <c r="E2071" s="10" t="str">
        <f>HYPERLINK("https://twitter.com/anpbcn/status/1065624207743205377","1065624207743205377")</f>
        <v>1065624207743205377</v>
      </c>
      <c r="F2071" s="11" t="s">
        <v>753</v>
      </c>
      <c r="G2071" s="12"/>
      <c r="H2071" s="12"/>
      <c r="I2071" s="13">
        <v>1</v>
      </c>
      <c r="J2071" s="13">
        <v>1</v>
      </c>
      <c r="K2071" s="14" t="str">
        <f>HYPERLINK("http://twitter.com","Twitter Web Client")</f>
        <v>Twitter Web Client</v>
      </c>
      <c r="L2071" s="13">
        <v>6302</v>
      </c>
      <c r="M2071" s="13">
        <v>6006</v>
      </c>
      <c r="N2071" s="13">
        <v>33</v>
      </c>
      <c r="O2071" s="15"/>
      <c r="P2071" s="6">
        <v>41506.844305555554</v>
      </c>
      <c r="Q2071" s="17" t="s">
        <v>191</v>
      </c>
      <c r="R2071" s="18" t="s">
        <v>7507</v>
      </c>
      <c r="S2071" s="12"/>
      <c r="T2071" s="12"/>
      <c r="U2071" s="10" t="str">
        <f>HYPERLINK("https://pbs.twimg.com/profile_images/856096657762603009/Ss_6OisX.jpg","View")</f>
        <v>View</v>
      </c>
    </row>
    <row r="2072" spans="1:21" ht="30.6">
      <c r="A2072" s="6">
        <v>43426.675671296296</v>
      </c>
      <c r="B2072" s="7" t="str">
        <f>HYPERLINK("https://twitter.com/Muriel_Rot","@Muriel_Rot")</f>
        <v>@Muriel_Rot</v>
      </c>
      <c r="C2072" s="8" t="s">
        <v>7508</v>
      </c>
      <c r="D2072" s="9" t="s">
        <v>7509</v>
      </c>
      <c r="E2072" s="10" t="str">
        <f>HYPERLINK("https://twitter.com/Muriel_Rot/status/1065624185236611073","1065624185236611073")</f>
        <v>1065624185236611073</v>
      </c>
      <c r="F2072" s="12"/>
      <c r="G2072" s="11" t="s">
        <v>7510</v>
      </c>
      <c r="H2072" s="12"/>
      <c r="I2072" s="13">
        <v>0</v>
      </c>
      <c r="J2072" s="13">
        <v>1</v>
      </c>
      <c r="K2072" s="14" t="str">
        <f>HYPERLINK("http://twitter.com/download/android","Twitter for Android")</f>
        <v>Twitter for Android</v>
      </c>
      <c r="L2072" s="13">
        <v>2424</v>
      </c>
      <c r="M2072" s="13">
        <v>1675</v>
      </c>
      <c r="N2072" s="13">
        <v>28</v>
      </c>
      <c r="O2072" s="15"/>
      <c r="P2072" s="6">
        <v>40921.429594907408</v>
      </c>
      <c r="Q2072" s="17" t="s">
        <v>28</v>
      </c>
      <c r="R2072" s="18" t="s">
        <v>7511</v>
      </c>
      <c r="S2072" s="12"/>
      <c r="T2072" s="12"/>
      <c r="U2072" s="10" t="str">
        <f>HYPERLINK("https://pbs.twimg.com/profile_images/531718380206948352/cfSL6DBr.jpeg","View")</f>
        <v>View</v>
      </c>
    </row>
    <row r="2073" spans="1:21" ht="51">
      <c r="A2073" s="6">
        <v>43426.675011574072</v>
      </c>
      <c r="B2073" s="7" t="str">
        <f>HYPERLINK("https://twitter.com/eslatarde","@eslatarde")</f>
        <v>@eslatarde</v>
      </c>
      <c r="C2073" s="8" t="s">
        <v>7026</v>
      </c>
      <c r="D2073" s="9" t="s">
        <v>7512</v>
      </c>
      <c r="E2073" s="10" t="str">
        <f>HYPERLINK("https://twitter.com/eslatarde/status/1065623943720173573","1065623943720173573")</f>
        <v>1065623943720173573</v>
      </c>
      <c r="F2073" s="12"/>
      <c r="G2073" s="12"/>
      <c r="H2073" s="12"/>
      <c r="I2073" s="13">
        <v>69</v>
      </c>
      <c r="J2073" s="13">
        <v>112</v>
      </c>
      <c r="K2073" s="14" t="str">
        <f>HYPERLINK("http://twitter.com","Twitter Web Client")</f>
        <v>Twitter Web Client</v>
      </c>
      <c r="L2073" s="13">
        <v>21219</v>
      </c>
      <c r="M2073" s="13">
        <v>1195</v>
      </c>
      <c r="N2073" s="13">
        <v>179</v>
      </c>
      <c r="O2073" s="16" t="s">
        <v>26</v>
      </c>
      <c r="P2073" s="6">
        <v>41487.700925925928</v>
      </c>
      <c r="Q2073" s="12"/>
      <c r="R2073" s="18" t="s">
        <v>7028</v>
      </c>
      <c r="S2073" s="11" t="s">
        <v>7029</v>
      </c>
      <c r="T2073" s="12"/>
      <c r="U2073" s="10" t="str">
        <f>HYPERLINK("https://pbs.twimg.com/profile_images/430657794740457472/J8u4e-W3.jpeg","View")</f>
        <v>View</v>
      </c>
    </row>
    <row r="2074" spans="1:21" ht="40.799999999999997">
      <c r="A2074" s="6">
        <v>43426.674988425926</v>
      </c>
      <c r="B2074" s="7" t="str">
        <f>HYPERLINK("https://twitter.com/YosvaniSaez","@YosvaniSaez")</f>
        <v>@YosvaniSaez</v>
      </c>
      <c r="C2074" s="8" t="s">
        <v>7513</v>
      </c>
      <c r="D2074" s="9" t="s">
        <v>7514</v>
      </c>
      <c r="E2074" s="10" t="str">
        <f>HYPERLINK("https://twitter.com/YosvaniSaez/status/1065623938787610625","1065623938787610625")</f>
        <v>1065623938787610625</v>
      </c>
      <c r="F2074" s="12"/>
      <c r="G2074" s="12"/>
      <c r="H2074" s="12"/>
      <c r="I2074" s="13">
        <v>0</v>
      </c>
      <c r="J2074" s="13">
        <v>0</v>
      </c>
      <c r="K2074" s="14" t="str">
        <f>HYPERLINK("http://twitter.com/download/android","Twitter for Android")</f>
        <v>Twitter for Android</v>
      </c>
      <c r="L2074" s="13">
        <v>30</v>
      </c>
      <c r="M2074" s="13">
        <v>54</v>
      </c>
      <c r="N2074" s="13">
        <v>0</v>
      </c>
      <c r="O2074" s="15"/>
      <c r="P2074" s="6">
        <v>43278.906759259262</v>
      </c>
      <c r="Q2074" s="17" t="s">
        <v>7515</v>
      </c>
      <c r="R2074" s="18" t="s">
        <v>7516</v>
      </c>
      <c r="S2074" s="12"/>
      <c r="T2074" s="12"/>
      <c r="U2074" s="10" t="str">
        <f>HYPERLINK("https://pbs.twimg.com/profile_images/1012060989557272577/FbCov7ql.jpg","View")</f>
        <v>View</v>
      </c>
    </row>
    <row r="2075" spans="1:21" ht="30.6">
      <c r="A2075" s="6">
        <v>43426.67454861111</v>
      </c>
      <c r="B2075" s="7" t="str">
        <f>HYPERLINK("https://twitter.com/arturrr_","@arturrr_")</f>
        <v>@arturrr_</v>
      </c>
      <c r="C2075" s="8" t="s">
        <v>7517</v>
      </c>
      <c r="D2075" s="9" t="s">
        <v>7518</v>
      </c>
      <c r="E2075" s="10" t="str">
        <f>HYPERLINK("https://twitter.com/arturrr_/status/1065623775385972736","1065623775385972736")</f>
        <v>1065623775385972736</v>
      </c>
      <c r="F2075" s="12"/>
      <c r="G2075" s="12"/>
      <c r="H2075" s="12"/>
      <c r="I2075" s="13">
        <v>2</v>
      </c>
      <c r="J2075" s="13">
        <v>7</v>
      </c>
      <c r="K2075" s="14" t="str">
        <f>HYPERLINK("http://twitter.com","Twitter Web Client")</f>
        <v>Twitter Web Client</v>
      </c>
      <c r="L2075" s="13">
        <v>1267</v>
      </c>
      <c r="M2075" s="13">
        <v>908</v>
      </c>
      <c r="N2075" s="13">
        <v>25</v>
      </c>
      <c r="O2075" s="15"/>
      <c r="P2075" s="6">
        <v>40785.124062499999</v>
      </c>
      <c r="Q2075" s="17" t="s">
        <v>7519</v>
      </c>
      <c r="R2075" s="18" t="s">
        <v>7520</v>
      </c>
      <c r="S2075" s="12"/>
      <c r="T2075" s="12"/>
      <c r="U2075" s="10" t="str">
        <f>HYPERLINK("https://pbs.twimg.com/profile_images/958009942677606402/zBdvLdUE.jpg","View")</f>
        <v>View</v>
      </c>
    </row>
    <row r="2076" spans="1:21" ht="51">
      <c r="A2076" s="6">
        <v>43426.674351851849</v>
      </c>
      <c r="B2076" s="7" t="str">
        <f>HYPERLINK("https://twitter.com/PPBizkaia","@PPBizkaia")</f>
        <v>@PPBizkaia</v>
      </c>
      <c r="C2076" s="8" t="s">
        <v>7521</v>
      </c>
      <c r="D2076" s="9" t="s">
        <v>7522</v>
      </c>
      <c r="E2076" s="10" t="str">
        <f>HYPERLINK("https://twitter.com/PPBizkaia/status/1065623704024035328","1065623704024035328")</f>
        <v>1065623704024035328</v>
      </c>
      <c r="F2076" s="12"/>
      <c r="G2076" s="11" t="s">
        <v>7523</v>
      </c>
      <c r="H2076" s="12"/>
      <c r="I2076" s="13">
        <v>12</v>
      </c>
      <c r="J2076" s="13">
        <v>16</v>
      </c>
      <c r="K2076" s="14" t="str">
        <f>HYPERLINK("http://twitter.com/download/android","Twitter for Android")</f>
        <v>Twitter for Android</v>
      </c>
      <c r="L2076" s="13">
        <v>1434</v>
      </c>
      <c r="M2076" s="13">
        <v>609</v>
      </c>
      <c r="N2076" s="13">
        <v>25</v>
      </c>
      <c r="O2076" s="16" t="s">
        <v>26</v>
      </c>
      <c r="P2076" s="6">
        <v>40987.768206018518</v>
      </c>
      <c r="Q2076" s="17" t="s">
        <v>7524</v>
      </c>
      <c r="R2076" s="18" t="s">
        <v>7525</v>
      </c>
      <c r="S2076" s="11" t="s">
        <v>7526</v>
      </c>
      <c r="T2076" s="12"/>
      <c r="U2076" s="10" t="str">
        <f>HYPERLINK("https://pbs.twimg.com/profile_images/1054077863887015942/bVan-0ND.jpg","View")</f>
        <v>View</v>
      </c>
    </row>
    <row r="2077" spans="1:21" ht="20.399999999999999">
      <c r="A2077" s="6">
        <v>43426.674097222218</v>
      </c>
      <c r="B2077" s="7" t="str">
        <f>HYPERLINK("https://twitter.com/adriana_esp_","@adriana_esp_")</f>
        <v>@adriana_esp_</v>
      </c>
      <c r="C2077" s="8" t="s">
        <v>7004</v>
      </c>
      <c r="D2077" s="9" t="s">
        <v>7005</v>
      </c>
      <c r="E2077" s="10" t="str">
        <f>HYPERLINK("https://twitter.com/adriana_esp_/status/1065623615775940609","1065623615775940609")</f>
        <v>1065623615775940609</v>
      </c>
      <c r="F2077" s="12"/>
      <c r="G2077" s="12"/>
      <c r="H2077" s="12"/>
      <c r="I2077" s="13">
        <v>0</v>
      </c>
      <c r="J2077" s="13">
        <v>0</v>
      </c>
      <c r="K2077" s="14" t="str">
        <f>HYPERLINK("http://twitter.com","Twitter Web Client")</f>
        <v>Twitter Web Client</v>
      </c>
      <c r="L2077" s="13">
        <v>2</v>
      </c>
      <c r="M2077" s="13">
        <v>47</v>
      </c>
      <c r="N2077" s="13">
        <v>0</v>
      </c>
      <c r="O2077" s="15"/>
      <c r="P2077" s="6">
        <v>43403.608541666668</v>
      </c>
      <c r="Q2077" s="17" t="s">
        <v>104</v>
      </c>
      <c r="R2077" s="18" t="s">
        <v>7006</v>
      </c>
      <c r="S2077" s="12"/>
      <c r="T2077" s="12"/>
      <c r="U2077" s="10" t="str">
        <f>HYPERLINK("https://pbs.twimg.com/profile_images/1057268587356921856/gYRi7R_8.jpg","View")</f>
        <v>View</v>
      </c>
    </row>
    <row r="2078" spans="1:21" ht="40.799999999999997">
      <c r="A2078" s="6">
        <v>43426.674039351856</v>
      </c>
      <c r="B2078" s="7" t="str">
        <f>HYPERLINK("https://twitter.com/rosaroja1956","@rosaroja1956")</f>
        <v>@rosaroja1956</v>
      </c>
      <c r="C2078" s="8" t="s">
        <v>998</v>
      </c>
      <c r="D2078" s="9" t="s">
        <v>7527</v>
      </c>
      <c r="E2078" s="10" t="str">
        <f>HYPERLINK("https://twitter.com/rosaroja1956/status/1065623591146987520","1065623591146987520")</f>
        <v>1065623591146987520</v>
      </c>
      <c r="F2078" s="11" t="s">
        <v>641</v>
      </c>
      <c r="G2078" s="12"/>
      <c r="H2078" s="12"/>
      <c r="I2078" s="13">
        <v>0</v>
      </c>
      <c r="J2078" s="13">
        <v>0</v>
      </c>
      <c r="K2078" s="14" t="str">
        <f>HYPERLINK("http://twitter.com/#!/download/ipad","Twitter for iPad")</f>
        <v>Twitter for iPad</v>
      </c>
      <c r="L2078" s="13">
        <v>7435</v>
      </c>
      <c r="M2078" s="13">
        <v>7410</v>
      </c>
      <c r="N2078" s="13">
        <v>123</v>
      </c>
      <c r="O2078" s="15"/>
      <c r="P2078" s="6">
        <v>40578.857638888891</v>
      </c>
      <c r="Q2078" s="17" t="s">
        <v>999</v>
      </c>
      <c r="R2078" s="18" t="s">
        <v>1000</v>
      </c>
      <c r="S2078" s="11" t="s">
        <v>1001</v>
      </c>
      <c r="T2078" s="12"/>
      <c r="U2078" s="10" t="str">
        <f>HYPERLINK("https://pbs.twimg.com/profile_images/1061694505043275777/GxGNHsxt.jpg","View")</f>
        <v>View</v>
      </c>
    </row>
    <row r="2079" spans="1:21" ht="40.799999999999997">
      <c r="A2079" s="6">
        <v>43426.673993055556</v>
      </c>
      <c r="B2079" s="7" t="str">
        <f>HYPERLINK("https://twitter.com/araa2068","@araa2068")</f>
        <v>@araa2068</v>
      </c>
      <c r="C2079" s="8" t="s">
        <v>7100</v>
      </c>
      <c r="D2079" s="9" t="s">
        <v>7528</v>
      </c>
      <c r="E2079" s="10" t="str">
        <f>HYPERLINK("https://twitter.com/araa2068/status/1065623576517246976","1065623576517246976")</f>
        <v>1065623576517246976</v>
      </c>
      <c r="F2079" s="11" t="s">
        <v>7102</v>
      </c>
      <c r="G2079" s="11" t="s">
        <v>7529</v>
      </c>
      <c r="H2079" s="12"/>
      <c r="I2079" s="13">
        <v>0</v>
      </c>
      <c r="J2079" s="13">
        <v>1</v>
      </c>
      <c r="K2079" s="14" t="str">
        <f>HYPERLINK("https://about.twitter.com/products/tweetdeck","TweetDeck")</f>
        <v>TweetDeck</v>
      </c>
      <c r="L2079" s="13">
        <v>167</v>
      </c>
      <c r="M2079" s="13">
        <v>130</v>
      </c>
      <c r="N2079" s="13">
        <v>7</v>
      </c>
      <c r="O2079" s="15"/>
      <c r="P2079" s="6">
        <v>40296.812615740739</v>
      </c>
      <c r="Q2079" s="17" t="s">
        <v>40</v>
      </c>
      <c r="R2079" s="19"/>
      <c r="S2079" s="12"/>
      <c r="T2079" s="12"/>
      <c r="U2079" s="10" t="str">
        <f>HYPERLINK("https://pbs.twimg.com/profile_images/804729813776809984/_oDtc9XK.jpg","View")</f>
        <v>View</v>
      </c>
    </row>
    <row r="2080" spans="1:21" ht="20.399999999999999">
      <c r="A2080" s="6">
        <v>43426.673680555556</v>
      </c>
      <c r="B2080" s="7" t="str">
        <f>HYPERLINK("https://twitter.com/falgiro","@falgiro")</f>
        <v>@falgiro</v>
      </c>
      <c r="C2080" s="8" t="s">
        <v>7530</v>
      </c>
      <c r="D2080" s="9" t="s">
        <v>7531</v>
      </c>
      <c r="E2080" s="10" t="str">
        <f>HYPERLINK("https://twitter.com/falgiro/status/1065623464600633344","1065623464600633344")</f>
        <v>1065623464600633344</v>
      </c>
      <c r="F2080" s="11" t="s">
        <v>7532</v>
      </c>
      <c r="G2080" s="12"/>
      <c r="H2080" s="12"/>
      <c r="I2080" s="13">
        <v>0</v>
      </c>
      <c r="J2080" s="13">
        <v>0</v>
      </c>
      <c r="K2080" s="14" t="str">
        <f>HYPERLINK("http://twitter.com","Twitter Web Client")</f>
        <v>Twitter Web Client</v>
      </c>
      <c r="L2080" s="13">
        <v>161</v>
      </c>
      <c r="M2080" s="13">
        <v>460</v>
      </c>
      <c r="N2080" s="13">
        <v>2</v>
      </c>
      <c r="O2080" s="15"/>
      <c r="P2080" s="6">
        <v>41057.980509259258</v>
      </c>
      <c r="Q2080" s="17" t="s">
        <v>6227</v>
      </c>
      <c r="R2080" s="19"/>
      <c r="S2080" s="12"/>
      <c r="T2080" s="12"/>
      <c r="U2080" s="10" t="str">
        <f>HYPERLINK("https://pbs.twimg.com/profile_images/1039517067110567937/TlNKVSQl.jpg","View")</f>
        <v>View</v>
      </c>
    </row>
    <row r="2081" spans="1:21" ht="40.799999999999997">
      <c r="A2081" s="6">
        <v>43426.673645833333</v>
      </c>
      <c r="B2081" s="7" t="str">
        <f>HYPERLINK("https://twitter.com/diariodepozuelo","@diariodepozuelo")</f>
        <v>@diariodepozuelo</v>
      </c>
      <c r="C2081" s="8" t="s">
        <v>7533</v>
      </c>
      <c r="D2081" s="9" t="s">
        <v>7534</v>
      </c>
      <c r="E2081" s="10" t="str">
        <f>HYPERLINK("https://twitter.com/diariodepozuelo/status/1065623448435810304","1065623448435810304")</f>
        <v>1065623448435810304</v>
      </c>
      <c r="F2081" s="11" t="s">
        <v>7535</v>
      </c>
      <c r="G2081" s="11" t="s">
        <v>7536</v>
      </c>
      <c r="H2081" s="12"/>
      <c r="I2081" s="13">
        <v>0</v>
      </c>
      <c r="J2081" s="13">
        <v>0</v>
      </c>
      <c r="K2081" s="14" t="str">
        <f>HYPERLINK("http://www.diariodepozuelo.es/","Publicar en ddp")</f>
        <v>Publicar en ddp</v>
      </c>
      <c r="L2081" s="13">
        <v>5738</v>
      </c>
      <c r="M2081" s="13">
        <v>109</v>
      </c>
      <c r="N2081" s="13">
        <v>120</v>
      </c>
      <c r="O2081" s="15"/>
      <c r="P2081" s="6">
        <v>40261.608472222222</v>
      </c>
      <c r="Q2081" s="17" t="s">
        <v>7537</v>
      </c>
      <c r="R2081" s="18" t="s">
        <v>7538</v>
      </c>
      <c r="S2081" s="11" t="s">
        <v>7539</v>
      </c>
      <c r="T2081" s="12"/>
      <c r="U2081" s="10" t="str">
        <f>HYPERLINK("https://pbs.twimg.com/profile_images/754969376047136768/cDfYfYmf.jpg","View")</f>
        <v>View</v>
      </c>
    </row>
    <row r="2082" spans="1:21" ht="40.799999999999997">
      <c r="A2082" s="6">
        <v>43426.672974537039</v>
      </c>
      <c r="B2082" s="7" t="str">
        <f>HYPERLINK("https://twitter.com/ampareta1","@ampareta1")</f>
        <v>@ampareta1</v>
      </c>
      <c r="C2082" s="8" t="s">
        <v>7540</v>
      </c>
      <c r="D2082" s="9" t="s">
        <v>7541</v>
      </c>
      <c r="E2082" s="10" t="str">
        <f>HYPERLINK("https://twitter.com/ampareta1/status/1065623206797680645","1065623206797680645")</f>
        <v>1065623206797680645</v>
      </c>
      <c r="F2082" s="12"/>
      <c r="G2082" s="11" t="s">
        <v>7542</v>
      </c>
      <c r="H2082" s="12"/>
      <c r="I2082" s="13">
        <v>0</v>
      </c>
      <c r="J2082" s="13">
        <v>1</v>
      </c>
      <c r="K2082" s="14" t="str">
        <f>HYPERLINK("http://twitter.com","Twitter Web Client")</f>
        <v>Twitter Web Client</v>
      </c>
      <c r="L2082" s="13">
        <v>306</v>
      </c>
      <c r="M2082" s="13">
        <v>687</v>
      </c>
      <c r="N2082" s="13">
        <v>4</v>
      </c>
      <c r="O2082" s="15"/>
      <c r="P2082" s="6">
        <v>40988.784282407403</v>
      </c>
      <c r="Q2082" s="17" t="s">
        <v>7366</v>
      </c>
      <c r="R2082" s="18" t="s">
        <v>7543</v>
      </c>
      <c r="S2082" s="12"/>
      <c r="T2082" s="12"/>
      <c r="U2082" s="10" t="str">
        <f>HYPERLINK("https://pbs.twimg.com/profile_images/925129449313619968/5c8HR-GJ.jpg","View")</f>
        <v>View</v>
      </c>
    </row>
    <row r="2083" spans="1:21" ht="30.6">
      <c r="A2083" s="6">
        <v>43426.672905092593</v>
      </c>
      <c r="B2083" s="7" t="str">
        <f>HYPERLINK("https://twitter.com/FrayJosepho","@FrayJosepho")</f>
        <v>@FrayJosepho</v>
      </c>
      <c r="C2083" s="8" t="s">
        <v>7544</v>
      </c>
      <c r="D2083" s="9" t="s">
        <v>7545</v>
      </c>
      <c r="E2083" s="10" t="str">
        <f>HYPERLINK("https://twitter.com/FrayJosepho/status/1065623180386189317","1065623180386189317")</f>
        <v>1065623180386189317</v>
      </c>
      <c r="F2083" s="12"/>
      <c r="G2083" s="12"/>
      <c r="H2083" s="12"/>
      <c r="I2083" s="13">
        <v>356</v>
      </c>
      <c r="J2083" s="13">
        <v>796</v>
      </c>
      <c r="K2083" s="14" t="str">
        <f>HYPERLINK("https://about.twitter.com/products/tweetdeck","TweetDeck")</f>
        <v>TweetDeck</v>
      </c>
      <c r="L2083" s="13">
        <v>61398</v>
      </c>
      <c r="M2083" s="13">
        <v>514</v>
      </c>
      <c r="N2083" s="13">
        <v>651</v>
      </c>
      <c r="O2083" s="16" t="s">
        <v>26</v>
      </c>
      <c r="P2083" s="6">
        <v>40263.030856481484</v>
      </c>
      <c r="Q2083" s="17" t="s">
        <v>28</v>
      </c>
      <c r="R2083" s="18" t="s">
        <v>7546</v>
      </c>
      <c r="S2083" s="11" t="s">
        <v>7547</v>
      </c>
      <c r="T2083" s="12"/>
      <c r="U2083" s="10" t="str">
        <f>HYPERLINK("https://pbs.twimg.com/profile_images/849684697261236224/hBxcfTCk.jpg","View")</f>
        <v>View</v>
      </c>
    </row>
    <row r="2084" spans="1:21" ht="30.6">
      <c r="A2084" s="6">
        <v>43426.672858796301</v>
      </c>
      <c r="B2084" s="7" t="str">
        <f>HYPERLINK("https://twitter.com/ja__camp","@ja__camp")</f>
        <v>@ja__camp</v>
      </c>
      <c r="C2084" s="8" t="s">
        <v>3065</v>
      </c>
      <c r="D2084" s="9" t="s">
        <v>7548</v>
      </c>
      <c r="E2084" s="10" t="str">
        <f>HYPERLINK("https://twitter.com/ja__camp/status/1065623166091968513","1065623166091968513")</f>
        <v>1065623166091968513</v>
      </c>
      <c r="F2084" s="11" t="s">
        <v>2857</v>
      </c>
      <c r="G2084" s="12"/>
      <c r="H2084" s="12"/>
      <c r="I2084" s="13">
        <v>0</v>
      </c>
      <c r="J2084" s="13">
        <v>0</v>
      </c>
      <c r="K2084" s="14" t="str">
        <f t="shared" ref="K2084:K2085" si="344">HYPERLINK("http://twitter.com/download/iphone","Twitter for iPhone")</f>
        <v>Twitter for iPhone</v>
      </c>
      <c r="L2084" s="13">
        <v>804</v>
      </c>
      <c r="M2084" s="13">
        <v>1212</v>
      </c>
      <c r="N2084" s="13">
        <v>17</v>
      </c>
      <c r="O2084" s="15"/>
      <c r="P2084" s="6">
        <v>40774.670613425929</v>
      </c>
      <c r="Q2084" s="12"/>
      <c r="R2084" s="18" t="s">
        <v>3068</v>
      </c>
      <c r="S2084" s="12"/>
      <c r="T2084" s="12"/>
      <c r="U2084" s="10" t="str">
        <f>HYPERLINK("https://pbs.twimg.com/profile_images/1041234303974367232/7dLx6LXF.jpg","View")</f>
        <v>View</v>
      </c>
    </row>
    <row r="2085" spans="1:21" ht="51">
      <c r="A2085" s="6">
        <v>43426.672615740739</v>
      </c>
      <c r="B2085" s="7" t="str">
        <f>HYPERLINK("https://twitter.com/jcvelez","@jcvelez")</f>
        <v>@jcvelez</v>
      </c>
      <c r="C2085" s="8" t="s">
        <v>7549</v>
      </c>
      <c r="D2085" s="9" t="s">
        <v>7550</v>
      </c>
      <c r="E2085" s="10" t="str">
        <f>HYPERLINK("https://twitter.com/jcvelez/status/1065623077571227649","1065623077571227649")</f>
        <v>1065623077571227649</v>
      </c>
      <c r="F2085" s="12"/>
      <c r="G2085" s="12"/>
      <c r="H2085" s="12"/>
      <c r="I2085" s="13">
        <v>17</v>
      </c>
      <c r="J2085" s="13">
        <v>14</v>
      </c>
      <c r="K2085" s="14" t="str">
        <f t="shared" si="344"/>
        <v>Twitter for iPhone</v>
      </c>
      <c r="L2085" s="13">
        <v>13099</v>
      </c>
      <c r="M2085" s="13">
        <v>2545</v>
      </c>
      <c r="N2085" s="13">
        <v>326</v>
      </c>
      <c r="O2085" s="16" t="s">
        <v>26</v>
      </c>
      <c r="P2085" s="6">
        <v>39734.846388888887</v>
      </c>
      <c r="Q2085" s="17" t="s">
        <v>7551</v>
      </c>
      <c r="R2085" s="18" t="s">
        <v>7552</v>
      </c>
      <c r="S2085" s="11" t="s">
        <v>7553</v>
      </c>
      <c r="T2085" s="12"/>
      <c r="U2085" s="10" t="str">
        <f>HYPERLINK("https://pbs.twimg.com/profile_images/1038390559419912192/Bq5My2XI.jpg","View")</f>
        <v>View</v>
      </c>
    </row>
    <row r="2086" spans="1:21" ht="20.399999999999999">
      <c r="A2086" s="6">
        <v>43426.6721875</v>
      </c>
      <c r="B2086" s="7" t="str">
        <f>HYPERLINK("https://twitter.com/jfh2651","@jfh2651")</f>
        <v>@jfh2651</v>
      </c>
      <c r="C2086" s="8" t="s">
        <v>7554</v>
      </c>
      <c r="D2086" s="9" t="s">
        <v>2837</v>
      </c>
      <c r="E2086" s="10" t="str">
        <f>HYPERLINK("https://twitter.com/jfh2651/status/1065622919953432576","1065622919953432576")</f>
        <v>1065622919953432576</v>
      </c>
      <c r="F2086" s="11" t="s">
        <v>2838</v>
      </c>
      <c r="G2086" s="12"/>
      <c r="H2086" s="12"/>
      <c r="I2086" s="13">
        <v>1</v>
      </c>
      <c r="J2086" s="13">
        <v>1</v>
      </c>
      <c r="K2086" s="14" t="str">
        <f>HYPERLINK("https://www.google.com/","Google")</f>
        <v>Google</v>
      </c>
      <c r="L2086" s="13">
        <v>6761</v>
      </c>
      <c r="M2086" s="13">
        <v>6225</v>
      </c>
      <c r="N2086" s="13">
        <v>52</v>
      </c>
      <c r="O2086" s="15"/>
      <c r="P2086" s="6">
        <v>39937.751134259262</v>
      </c>
      <c r="Q2086" s="17" t="s">
        <v>5953</v>
      </c>
      <c r="R2086" s="18" t="s">
        <v>7555</v>
      </c>
      <c r="S2086" s="11" t="s">
        <v>7556</v>
      </c>
      <c r="T2086" s="12"/>
      <c r="U2086" s="10" t="str">
        <f>HYPERLINK("https://pbs.twimg.com/profile_images/2250129029/Gary_Grant_2.jpg","View")</f>
        <v>View</v>
      </c>
    </row>
    <row r="2087" spans="1:21" ht="30.6">
      <c r="A2087" s="6">
        <v>43426.672013888892</v>
      </c>
      <c r="B2087" s="7" t="str">
        <f>HYPERLINK("https://twitter.com/macarena3141516","@macarena3141516")</f>
        <v>@macarena3141516</v>
      </c>
      <c r="C2087" s="8" t="s">
        <v>7557</v>
      </c>
      <c r="D2087" s="9" t="s">
        <v>7558</v>
      </c>
      <c r="E2087" s="10" t="str">
        <f>HYPERLINK("https://twitter.com/macarena3141516/status/1065622860708945920","1065622860708945920")</f>
        <v>1065622860708945920</v>
      </c>
      <c r="F2087" s="12"/>
      <c r="G2087" s="12"/>
      <c r="H2087" s="12"/>
      <c r="I2087" s="13">
        <v>0</v>
      </c>
      <c r="J2087" s="13">
        <v>2</v>
      </c>
      <c r="K2087" s="14" t="str">
        <f>HYPERLINK("http://twitter.com","Twitter Web Client")</f>
        <v>Twitter Web Client</v>
      </c>
      <c r="L2087" s="13">
        <v>1</v>
      </c>
      <c r="M2087" s="13">
        <v>11</v>
      </c>
      <c r="N2087" s="13">
        <v>0</v>
      </c>
      <c r="O2087" s="15"/>
      <c r="P2087" s="6">
        <v>43243.841481481482</v>
      </c>
      <c r="Q2087" s="12"/>
      <c r="R2087" s="19"/>
      <c r="S2087" s="12"/>
      <c r="T2087" s="12"/>
      <c r="U2087" s="16" t="s">
        <v>373</v>
      </c>
    </row>
    <row r="2088" spans="1:21" ht="30.6">
      <c r="A2088" s="6">
        <v>43426.670532407406</v>
      </c>
      <c r="B2088" s="7" t="str">
        <f>HYPERLINK("https://twitter.com/SoriaEqsosa","@SoriaEqsosa")</f>
        <v>@SoriaEqsosa</v>
      </c>
      <c r="C2088" s="8" t="s">
        <v>2721</v>
      </c>
      <c r="D2088" s="9" t="s">
        <v>7559</v>
      </c>
      <c r="E2088" s="10" t="str">
        <f>HYPERLINK("https://twitter.com/SoriaEqsosa/status/1065622320818081794","1065622320818081794")</f>
        <v>1065622320818081794</v>
      </c>
      <c r="F2088" s="12"/>
      <c r="G2088" s="12"/>
      <c r="H2088" s="12"/>
      <c r="I2088" s="13">
        <v>0</v>
      </c>
      <c r="J2088" s="13">
        <v>1</v>
      </c>
      <c r="K2088" s="14" t="str">
        <f>HYPERLINK("http://twitter.com/download/iphone","Twitter for iPhone")</f>
        <v>Twitter for iPhone</v>
      </c>
      <c r="L2088" s="13">
        <v>52</v>
      </c>
      <c r="M2088" s="13">
        <v>199</v>
      </c>
      <c r="N2088" s="13">
        <v>1</v>
      </c>
      <c r="O2088" s="15"/>
      <c r="P2088" s="6">
        <v>42453.489664351851</v>
      </c>
      <c r="Q2088" s="12"/>
      <c r="R2088" s="19"/>
      <c r="S2088" s="12"/>
      <c r="T2088" s="12"/>
      <c r="U2088" s="10" t="str">
        <f>HYPERLINK("https://pbs.twimg.com/profile_images/903308692552077313/JKZrsQil.jpg","View")</f>
        <v>View</v>
      </c>
    </row>
    <row r="2089" spans="1:21" ht="40.799999999999997">
      <c r="A2089" s="6">
        <v>43426.669895833329</v>
      </c>
      <c r="B2089" s="7" t="str">
        <f>HYPERLINK("https://twitter.com/diegodggonzalez","@diegodggonzalez")</f>
        <v>@diegodggonzalez</v>
      </c>
      <c r="C2089" s="8" t="s">
        <v>7560</v>
      </c>
      <c r="D2089" s="9" t="s">
        <v>7561</v>
      </c>
      <c r="E2089" s="10" t="str">
        <f>HYPERLINK("https://twitter.com/diegodggonzalez/status/1065622090680868872","1065622090680868872")</f>
        <v>1065622090680868872</v>
      </c>
      <c r="F2089" s="11" t="s">
        <v>6405</v>
      </c>
      <c r="G2089" s="12"/>
      <c r="H2089" s="12"/>
      <c r="I2089" s="13">
        <v>0</v>
      </c>
      <c r="J2089" s="13">
        <v>0</v>
      </c>
      <c r="K2089" s="14" t="str">
        <f>HYPERLINK("http://www.facebook.com/twitter","Facebook")</f>
        <v>Facebook</v>
      </c>
      <c r="L2089" s="13">
        <v>1027</v>
      </c>
      <c r="M2089" s="13">
        <v>1029</v>
      </c>
      <c r="N2089" s="13">
        <v>15</v>
      </c>
      <c r="O2089" s="15"/>
      <c r="P2089" s="6">
        <v>42037.834409722222</v>
      </c>
      <c r="Q2089" s="17" t="s">
        <v>619</v>
      </c>
      <c r="R2089" s="18" t="s">
        <v>7562</v>
      </c>
      <c r="S2089" s="12"/>
      <c r="T2089" s="12"/>
      <c r="U2089" s="10" t="str">
        <f>HYPERLINK("https://pbs.twimg.com/profile_images/945303100323258368/jHqgAklc.jpg","View")</f>
        <v>View</v>
      </c>
    </row>
    <row r="2090" spans="1:21" ht="40.799999999999997">
      <c r="A2090" s="6">
        <v>43426.669733796298</v>
      </c>
      <c r="B2090" s="7" t="str">
        <f>HYPERLINK("https://twitter.com/rosaroja1956","@rosaroja1956")</f>
        <v>@rosaroja1956</v>
      </c>
      <c r="C2090" s="8" t="s">
        <v>998</v>
      </c>
      <c r="D2090" s="9" t="s">
        <v>5808</v>
      </c>
      <c r="E2090" s="10" t="str">
        <f>HYPERLINK("https://twitter.com/rosaroja1956/status/1065622034334580736","1065622034334580736")</f>
        <v>1065622034334580736</v>
      </c>
      <c r="F2090" s="11" t="s">
        <v>5809</v>
      </c>
      <c r="G2090" s="12"/>
      <c r="H2090" s="12"/>
      <c r="I2090" s="13">
        <v>0</v>
      </c>
      <c r="J2090" s="13">
        <v>0</v>
      </c>
      <c r="K2090" s="14" t="str">
        <f>HYPERLINK("http://twitter.com/#!/download/ipad","Twitter for iPad")</f>
        <v>Twitter for iPad</v>
      </c>
      <c r="L2090" s="13">
        <v>7435</v>
      </c>
      <c r="M2090" s="13">
        <v>7410</v>
      </c>
      <c r="N2090" s="13">
        <v>123</v>
      </c>
      <c r="O2090" s="15"/>
      <c r="P2090" s="6">
        <v>40578.857638888891</v>
      </c>
      <c r="Q2090" s="17" t="s">
        <v>999</v>
      </c>
      <c r="R2090" s="18" t="s">
        <v>1000</v>
      </c>
      <c r="S2090" s="11" t="s">
        <v>1001</v>
      </c>
      <c r="T2090" s="12"/>
      <c r="U2090" s="10" t="str">
        <f>HYPERLINK("https://pbs.twimg.com/profile_images/1061694505043275777/GxGNHsxt.jpg","View")</f>
        <v>View</v>
      </c>
    </row>
    <row r="2091" spans="1:21" ht="20.399999999999999">
      <c r="A2091" s="6">
        <v>43426.66783564815</v>
      </c>
      <c r="B2091" s="7" t="str">
        <f>HYPERLINK("https://twitter.com/jfh2651","@jfh2651")</f>
        <v>@jfh2651</v>
      </c>
      <c r="C2091" s="8" t="s">
        <v>7554</v>
      </c>
      <c r="D2091" s="9" t="s">
        <v>7563</v>
      </c>
      <c r="E2091" s="10" t="str">
        <f>HYPERLINK("https://twitter.com/jfh2651/status/1065621345118167041","1065621345118167041")</f>
        <v>1065621345118167041</v>
      </c>
      <c r="F2091" s="11" t="s">
        <v>7564</v>
      </c>
      <c r="G2091" s="12"/>
      <c r="H2091" s="12"/>
      <c r="I2091" s="13">
        <v>1</v>
      </c>
      <c r="J2091" s="13">
        <v>0</v>
      </c>
      <c r="K2091" s="14" t="str">
        <f>HYPERLINK("https://www.google.com/","Google")</f>
        <v>Google</v>
      </c>
      <c r="L2091" s="13">
        <v>6761</v>
      </c>
      <c r="M2091" s="13">
        <v>6225</v>
      </c>
      <c r="N2091" s="13">
        <v>52</v>
      </c>
      <c r="O2091" s="15"/>
      <c r="P2091" s="6">
        <v>39937.751134259262</v>
      </c>
      <c r="Q2091" s="17" t="s">
        <v>5953</v>
      </c>
      <c r="R2091" s="18" t="s">
        <v>7555</v>
      </c>
      <c r="S2091" s="11" t="s">
        <v>7556</v>
      </c>
      <c r="T2091" s="12"/>
      <c r="U2091" s="10" t="str">
        <f>HYPERLINK("https://pbs.twimg.com/profile_images/2250129029/Gary_Grant_2.jpg","View")</f>
        <v>View</v>
      </c>
    </row>
    <row r="2092" spans="1:21" ht="51">
      <c r="A2092" s="6">
        <v>43426.664456018523</v>
      </c>
      <c r="B2092" s="7" t="str">
        <f>HYPERLINK("https://twitter.com/Abejorro69","@Abejorro69")</f>
        <v>@Abejorro69</v>
      </c>
      <c r="C2092" s="8" t="s">
        <v>7565</v>
      </c>
      <c r="D2092" s="9" t="s">
        <v>7566</v>
      </c>
      <c r="E2092" s="10" t="str">
        <f>HYPERLINK("https://twitter.com/Abejorro69/status/1065620121807462408","1065620121807462408")</f>
        <v>1065620121807462408</v>
      </c>
      <c r="F2092" s="12"/>
      <c r="G2092" s="12"/>
      <c r="H2092" s="12"/>
      <c r="I2092" s="13">
        <v>2</v>
      </c>
      <c r="J2092" s="13">
        <v>3</v>
      </c>
      <c r="K2092" s="14" t="str">
        <f t="shared" ref="K2092:K2094" si="345">HYPERLINK("http://twitter.com/download/iphone","Twitter for iPhone")</f>
        <v>Twitter for iPhone</v>
      </c>
      <c r="L2092" s="13">
        <v>5061</v>
      </c>
      <c r="M2092" s="13">
        <v>3659</v>
      </c>
      <c r="N2092" s="13">
        <v>52</v>
      </c>
      <c r="O2092" s="15"/>
      <c r="P2092" s="6">
        <v>40208.748437499999</v>
      </c>
      <c r="Q2092" s="17" t="s">
        <v>7567</v>
      </c>
      <c r="R2092" s="19"/>
      <c r="S2092" s="12"/>
      <c r="T2092" s="12"/>
      <c r="U2092" s="10" t="str">
        <f>HYPERLINK("https://pbs.twimg.com/profile_images/994603644766031872/5ckiAlY2.jpg","View")</f>
        <v>View</v>
      </c>
    </row>
    <row r="2093" spans="1:21" ht="30.6">
      <c r="A2093" s="6">
        <v>43426.663761574076</v>
      </c>
      <c r="B2093" s="7" t="str">
        <f>HYPERLINK("https://twitter.com/yvesnguerif","@yvesnguerif")</f>
        <v>@yvesnguerif</v>
      </c>
      <c r="C2093" s="8" t="s">
        <v>7568</v>
      </c>
      <c r="D2093" s="9" t="s">
        <v>7569</v>
      </c>
      <c r="E2093" s="10" t="str">
        <f>HYPERLINK("https://twitter.com/yvesnguerif/status/1065619868601516032","1065619868601516032")</f>
        <v>1065619868601516032</v>
      </c>
      <c r="F2093" s="11" t="s">
        <v>7570</v>
      </c>
      <c r="G2093" s="12"/>
      <c r="H2093" s="12"/>
      <c r="I2093" s="13">
        <v>0</v>
      </c>
      <c r="J2093" s="13">
        <v>0</v>
      </c>
      <c r="K2093" s="14" t="str">
        <f t="shared" si="345"/>
        <v>Twitter for iPhone</v>
      </c>
      <c r="L2093" s="13">
        <v>1066</v>
      </c>
      <c r="M2093" s="13">
        <v>715</v>
      </c>
      <c r="N2093" s="13">
        <v>78</v>
      </c>
      <c r="O2093" s="15"/>
      <c r="P2093" s="6">
        <v>40829.957673611112</v>
      </c>
      <c r="Q2093" s="17" t="s">
        <v>7571</v>
      </c>
      <c r="R2093" s="18" t="s">
        <v>7572</v>
      </c>
      <c r="S2093" s="11" t="s">
        <v>7573</v>
      </c>
      <c r="T2093" s="12"/>
      <c r="U2093" s="10" t="str">
        <f>HYPERLINK("https://pbs.twimg.com/profile_images/973300996754628610/XtWONB5U.jpg","View")</f>
        <v>View</v>
      </c>
    </row>
    <row r="2094" spans="1:21" ht="30.6">
      <c r="A2094" s="6">
        <v>43426.6637037037</v>
      </c>
      <c r="B2094" s="7" t="str">
        <f>HYPERLINK("https://twitter.com/FECEC_FICEC","@FECEC_FICEC")</f>
        <v>@FECEC_FICEC</v>
      </c>
      <c r="C2094" s="8" t="s">
        <v>7574</v>
      </c>
      <c r="D2094" s="9" t="s">
        <v>7569</v>
      </c>
      <c r="E2094" s="10" t="str">
        <f>HYPERLINK("https://twitter.com/FECEC_FICEC/status/1065619845285322752","1065619845285322752")</f>
        <v>1065619845285322752</v>
      </c>
      <c r="F2094" s="11" t="s">
        <v>7570</v>
      </c>
      <c r="G2094" s="12"/>
      <c r="H2094" s="12"/>
      <c r="I2094" s="13">
        <v>0</v>
      </c>
      <c r="J2094" s="13">
        <v>0</v>
      </c>
      <c r="K2094" s="14" t="str">
        <f t="shared" si="345"/>
        <v>Twitter for iPhone</v>
      </c>
      <c r="L2094" s="13">
        <v>318</v>
      </c>
      <c r="M2094" s="13">
        <v>267</v>
      </c>
      <c r="N2094" s="13">
        <v>3</v>
      </c>
      <c r="O2094" s="15"/>
      <c r="P2094" s="6">
        <v>42710.590601851851</v>
      </c>
      <c r="Q2094" s="17" t="s">
        <v>3785</v>
      </c>
      <c r="R2094" s="18" t="s">
        <v>7575</v>
      </c>
      <c r="S2094" s="11" t="s">
        <v>7576</v>
      </c>
      <c r="T2094" s="12"/>
      <c r="U2094" s="10" t="str">
        <f>HYPERLINK("https://pbs.twimg.com/profile_images/976792132911583233/F1cIWQom.jpg","View")</f>
        <v>View</v>
      </c>
    </row>
    <row r="2095" spans="1:21" ht="51">
      <c r="A2095" s="6">
        <v>43426.663391203707</v>
      </c>
      <c r="B2095" s="7" t="str">
        <f>HYPERLINK("https://twitter.com/ReporteNi","@ReporteNi")</f>
        <v>@ReporteNi</v>
      </c>
      <c r="C2095" s="8" t="s">
        <v>81</v>
      </c>
      <c r="D2095" s="9" t="s">
        <v>7577</v>
      </c>
      <c r="E2095" s="10" t="str">
        <f>HYPERLINK("https://twitter.com/ReporteNi/status/1065619734908100608","1065619734908100608")</f>
        <v>1065619734908100608</v>
      </c>
      <c r="F2095" s="11" t="s">
        <v>7578</v>
      </c>
      <c r="G2095" s="11" t="s">
        <v>7579</v>
      </c>
      <c r="H2095" s="12"/>
      <c r="I2095" s="13">
        <v>0</v>
      </c>
      <c r="J2095" s="13">
        <v>0</v>
      </c>
      <c r="K2095" s="14" t="str">
        <f>HYPERLINK("http://t.co/UdeSOxqjCp","@ReporteNi")</f>
        <v>@ReporteNi</v>
      </c>
      <c r="L2095" s="13">
        <v>24292</v>
      </c>
      <c r="M2095" s="13">
        <v>10171</v>
      </c>
      <c r="N2095" s="13">
        <v>225</v>
      </c>
      <c r="O2095" s="15"/>
      <c r="P2095" s="6">
        <v>40889.126388888893</v>
      </c>
      <c r="Q2095" s="17" t="s">
        <v>88</v>
      </c>
      <c r="R2095" s="18" t="s">
        <v>89</v>
      </c>
      <c r="S2095" s="11" t="s">
        <v>90</v>
      </c>
      <c r="T2095" s="12"/>
      <c r="U2095" s="10" t="str">
        <f>HYPERLINK("https://pbs.twimg.com/profile_images/2484477506/k2iplmx354yoirs7nygk.png","View")</f>
        <v>View</v>
      </c>
    </row>
    <row r="2096" spans="1:21" ht="40.799999999999997">
      <c r="A2096" s="6">
        <v>43426.663171296299</v>
      </c>
      <c r="B2096" s="7" t="str">
        <f>HYPERLINK("https://twitter.com/celescolorado","@celescolorado")</f>
        <v>@celescolorado</v>
      </c>
      <c r="C2096" s="8" t="s">
        <v>7580</v>
      </c>
      <c r="D2096" s="9" t="s">
        <v>7581</v>
      </c>
      <c r="E2096" s="10" t="str">
        <f>HYPERLINK("https://twitter.com/celescolorado/status/1065619656084459520","1065619656084459520")</f>
        <v>1065619656084459520</v>
      </c>
      <c r="F2096" s="11" t="s">
        <v>479</v>
      </c>
      <c r="G2096" s="12"/>
      <c r="H2096" s="12"/>
      <c r="I2096" s="13">
        <v>0</v>
      </c>
      <c r="J2096" s="13">
        <v>0</v>
      </c>
      <c r="K2096" s="14" t="str">
        <f>HYPERLINK("http://twitter.com/download/iphone","Twitter for iPhone")</f>
        <v>Twitter for iPhone</v>
      </c>
      <c r="L2096" s="13">
        <v>4068</v>
      </c>
      <c r="M2096" s="13">
        <v>991</v>
      </c>
      <c r="N2096" s="13">
        <v>112</v>
      </c>
      <c r="O2096" s="15"/>
      <c r="P2096" s="6">
        <v>40854.918935185182</v>
      </c>
      <c r="Q2096" s="17" t="s">
        <v>7582</v>
      </c>
      <c r="R2096" s="18" t="s">
        <v>7583</v>
      </c>
      <c r="S2096" s="12"/>
      <c r="T2096" s="12"/>
      <c r="U2096" s="10" t="str">
        <f>HYPERLINK("https://pbs.twimg.com/profile_images/811226783668375552/T6A5dADg.jpg","View")</f>
        <v>View</v>
      </c>
    </row>
    <row r="2097" spans="1:21" ht="30.6">
      <c r="A2097" s="6">
        <v>43426.663148148145</v>
      </c>
      <c r="B2097" s="7" t="str">
        <f>HYPERLINK("https://twitter.com/mercacei","@mercacei")</f>
        <v>@mercacei</v>
      </c>
      <c r="C2097" s="8" t="s">
        <v>7584</v>
      </c>
      <c r="D2097" s="9" t="s">
        <v>7585</v>
      </c>
      <c r="E2097" s="10" t="str">
        <f>HYPERLINK("https://twitter.com/mercacei/status/1065619647817543680","1065619647817543680")</f>
        <v>1065619647817543680</v>
      </c>
      <c r="F2097" s="11" t="s">
        <v>7586</v>
      </c>
      <c r="G2097" s="12"/>
      <c r="H2097" s="12"/>
      <c r="I2097" s="13">
        <v>0</v>
      </c>
      <c r="J2097" s="13">
        <v>0</v>
      </c>
      <c r="K2097" s="14" t="str">
        <f>HYPERLINK("http://twitter.com","Twitter Web Client")</f>
        <v>Twitter Web Client</v>
      </c>
      <c r="L2097" s="13">
        <v>5390</v>
      </c>
      <c r="M2097" s="13">
        <v>928</v>
      </c>
      <c r="N2097" s="13">
        <v>109</v>
      </c>
      <c r="O2097" s="15"/>
      <c r="P2097" s="6">
        <v>40688.661111111112</v>
      </c>
      <c r="Q2097" s="17" t="s">
        <v>1692</v>
      </c>
      <c r="R2097" s="18" t="s">
        <v>7587</v>
      </c>
      <c r="S2097" s="11" t="s">
        <v>7588</v>
      </c>
      <c r="T2097" s="12"/>
      <c r="U2097" s="10" t="str">
        <f>HYPERLINK("https://pbs.twimg.com/profile_images/1014548803687460864/wb744e8H.jpg","View")</f>
        <v>View</v>
      </c>
    </row>
    <row r="2098" spans="1:21" ht="20.399999999999999">
      <c r="A2098" s="6">
        <v>43426.662569444445</v>
      </c>
      <c r="B2098" s="7" t="str">
        <f>HYPERLINK("https://twitter.com/PortalDiarioAR","@PortalDiarioAR")</f>
        <v>@PortalDiarioAR</v>
      </c>
      <c r="C2098" s="8" t="s">
        <v>34</v>
      </c>
      <c r="D2098" s="9" t="s">
        <v>7589</v>
      </c>
      <c r="E2098" s="10" t="str">
        <f>HYPERLINK("https://twitter.com/PortalDiarioAR/status/1065619438265724928","1065619438265724928")</f>
        <v>1065619438265724928</v>
      </c>
      <c r="F2098" s="11" t="s">
        <v>7590</v>
      </c>
      <c r="G2098" s="11" t="s">
        <v>7591</v>
      </c>
      <c r="H2098" s="12"/>
      <c r="I2098" s="13">
        <v>0</v>
      </c>
      <c r="J2098" s="13">
        <v>0</v>
      </c>
      <c r="K2098" s="14" t="str">
        <f>HYPERLINK("https://dlvrit.com/","dlvr.it")</f>
        <v>dlvr.it</v>
      </c>
      <c r="L2098" s="13">
        <v>2129</v>
      </c>
      <c r="M2098" s="13">
        <v>4</v>
      </c>
      <c r="N2098" s="13">
        <v>59</v>
      </c>
      <c r="O2098" s="15"/>
      <c r="P2098" s="6">
        <v>40910.191840277781</v>
      </c>
      <c r="Q2098" s="17" t="s">
        <v>36</v>
      </c>
      <c r="R2098" s="18" t="s">
        <v>37</v>
      </c>
      <c r="S2098" s="11" t="s">
        <v>38</v>
      </c>
      <c r="T2098" s="12"/>
      <c r="U2098" s="10" t="str">
        <f>HYPERLINK("https://pbs.twimg.com/profile_images/1001060315348586496/K3I7rPY5.jpg","View")</f>
        <v>View</v>
      </c>
    </row>
    <row r="2099" spans="1:21" ht="40.799999999999997">
      <c r="A2099" s="6">
        <v>43426.662118055552</v>
      </c>
      <c r="B2099" s="7" t="str">
        <f>HYPERLINK("https://twitter.com/joanguirado","@joanguirado")</f>
        <v>@joanguirado</v>
      </c>
      <c r="C2099" s="8" t="s">
        <v>7592</v>
      </c>
      <c r="D2099" s="9" t="s">
        <v>7593</v>
      </c>
      <c r="E2099" s="10" t="str">
        <f>HYPERLINK("https://twitter.com/joanguirado/status/1065619272184016896","1065619272184016896")</f>
        <v>1065619272184016896</v>
      </c>
      <c r="F2099" s="12"/>
      <c r="G2099" s="11" t="s">
        <v>7594</v>
      </c>
      <c r="H2099" s="12"/>
      <c r="I2099" s="13">
        <v>0</v>
      </c>
      <c r="J2099" s="13">
        <v>1</v>
      </c>
      <c r="K2099" s="14" t="str">
        <f>HYPERLINK("http://twitter.com/download/iphone","Twitter for iPhone")</f>
        <v>Twitter for iPhone</v>
      </c>
      <c r="L2099" s="13">
        <v>7481</v>
      </c>
      <c r="M2099" s="13">
        <v>564</v>
      </c>
      <c r="N2099" s="13">
        <v>132</v>
      </c>
      <c r="O2099" s="15"/>
      <c r="P2099" s="6">
        <v>40245.979456018518</v>
      </c>
      <c r="Q2099" s="17" t="s">
        <v>7595</v>
      </c>
      <c r="R2099" s="18" t="s">
        <v>7596</v>
      </c>
      <c r="S2099" s="12"/>
      <c r="T2099" s="12"/>
      <c r="U2099" s="10" t="str">
        <f>HYPERLINK("https://pbs.twimg.com/profile_images/1052874505566208000/QOsgPPO9.jpg","View")</f>
        <v>View</v>
      </c>
    </row>
    <row r="2100" spans="1:21" ht="40.799999999999997">
      <c r="A2100" s="6">
        <v>43426.661840277782</v>
      </c>
      <c r="B2100" s="7" t="str">
        <f>HYPERLINK("https://twitter.com/madridactual","@madridactual")</f>
        <v>@madridactual</v>
      </c>
      <c r="C2100" s="8" t="s">
        <v>7597</v>
      </c>
      <c r="D2100" s="9" t="s">
        <v>7598</v>
      </c>
      <c r="E2100" s="10" t="str">
        <f>HYPERLINK("https://twitter.com/madridactual/status/1065619171239751680","1065619171239751680")</f>
        <v>1065619171239751680</v>
      </c>
      <c r="F2100" s="11" t="s">
        <v>7599</v>
      </c>
      <c r="G2100" s="11" t="s">
        <v>7600</v>
      </c>
      <c r="H2100" s="12"/>
      <c r="I2100" s="13">
        <v>0</v>
      </c>
      <c r="J2100" s="13">
        <v>0</v>
      </c>
      <c r="K2100" s="14" t="str">
        <f>HYPERLINK("http://www.madridactual.es","Madrid Actual Noticias")</f>
        <v>Madrid Actual Noticias</v>
      </c>
      <c r="L2100" s="13">
        <v>22422</v>
      </c>
      <c r="M2100" s="13">
        <v>418</v>
      </c>
      <c r="N2100" s="13">
        <v>642</v>
      </c>
      <c r="O2100" s="15"/>
      <c r="P2100" s="6">
        <v>39990.413622685184</v>
      </c>
      <c r="Q2100" s="17" t="s">
        <v>392</v>
      </c>
      <c r="R2100" s="18" t="s">
        <v>7601</v>
      </c>
      <c r="S2100" s="11" t="s">
        <v>7602</v>
      </c>
      <c r="T2100" s="12"/>
      <c r="U2100" s="10" t="str">
        <f>HYPERLINK("https://pbs.twimg.com/profile_images/448827089660030976/uph1Z7IK.png","View")</f>
        <v>View</v>
      </c>
    </row>
    <row r="2101" spans="1:21" ht="51">
      <c r="A2101" s="6">
        <v>43426.661319444444</v>
      </c>
      <c r="B2101" s="7" t="str">
        <f>HYPERLINK("https://twitter.com/mariano9605","@mariano9605")</f>
        <v>@mariano9605</v>
      </c>
      <c r="C2101" s="8" t="s">
        <v>7603</v>
      </c>
      <c r="D2101" s="9" t="s">
        <v>7604</v>
      </c>
      <c r="E2101" s="10" t="str">
        <f>HYPERLINK("https://twitter.com/mariano9605/status/1065618984647753730","1065618984647753730")</f>
        <v>1065618984647753730</v>
      </c>
      <c r="F2101" s="11" t="s">
        <v>680</v>
      </c>
      <c r="G2101" s="12"/>
      <c r="H2101" s="12"/>
      <c r="I2101" s="13">
        <v>8</v>
      </c>
      <c r="J2101" s="13">
        <v>3</v>
      </c>
      <c r="K2101" s="14" t="str">
        <f>HYPERLINK("http://twitter.com","Twitter Web Client")</f>
        <v>Twitter Web Client</v>
      </c>
      <c r="L2101" s="13">
        <v>56150</v>
      </c>
      <c r="M2101" s="13">
        <v>53994</v>
      </c>
      <c r="N2101" s="13">
        <v>303</v>
      </c>
      <c r="O2101" s="15"/>
      <c r="P2101" s="6">
        <v>40869.915659722225</v>
      </c>
      <c r="Q2101" s="17" t="s">
        <v>7605</v>
      </c>
      <c r="R2101" s="18" t="s">
        <v>7606</v>
      </c>
      <c r="S2101" s="12"/>
      <c r="T2101" s="12"/>
      <c r="U2101" s="10" t="str">
        <f>HYPERLINK("https://pbs.twimg.com/profile_images/427860629525757952/ohW7e5Pf.jpeg","View")</f>
        <v>View</v>
      </c>
    </row>
    <row r="2102" spans="1:21" ht="30.6">
      <c r="A2102" s="6">
        <v>43426.661180555559</v>
      </c>
      <c r="B2102" s="7" t="str">
        <f>HYPERLINK("https://twitter.com/portalcuba","@portalcuba")</f>
        <v>@portalcuba</v>
      </c>
      <c r="C2102" s="8" t="s">
        <v>7030</v>
      </c>
      <c r="D2102" s="9" t="s">
        <v>7031</v>
      </c>
      <c r="E2102" s="10" t="str">
        <f>HYPERLINK("https://twitter.com/portalcuba/status/1065618933821124608","1065618933821124608")</f>
        <v>1065618933821124608</v>
      </c>
      <c r="F2102" s="11" t="s">
        <v>7032</v>
      </c>
      <c r="G2102" s="11" t="s">
        <v>7033</v>
      </c>
      <c r="H2102" s="12"/>
      <c r="I2102" s="13">
        <v>1</v>
      </c>
      <c r="J2102" s="13">
        <v>1</v>
      </c>
      <c r="K2102" s="14" t="str">
        <f>HYPERLINK("https://about.twitter.com/products/tweetdeck","TweetDeck")</f>
        <v>TweetDeck</v>
      </c>
      <c r="L2102" s="13">
        <v>2218</v>
      </c>
      <c r="M2102" s="13">
        <v>1041</v>
      </c>
      <c r="N2102" s="13">
        <v>46</v>
      </c>
      <c r="O2102" s="15"/>
      <c r="P2102" s="6">
        <v>41885.878738425927</v>
      </c>
      <c r="Q2102" s="12"/>
      <c r="R2102" s="18" t="s">
        <v>7035</v>
      </c>
      <c r="S2102" s="11" t="s">
        <v>7036</v>
      </c>
      <c r="T2102" s="12"/>
      <c r="U2102" s="10" t="str">
        <f>HYPERLINK("https://pbs.twimg.com/profile_images/507248042890645504/yh0mrePw.jpeg","View")</f>
        <v>View</v>
      </c>
    </row>
    <row r="2103" spans="1:21" ht="51">
      <c r="A2103" s="6">
        <v>43426.660416666666</v>
      </c>
      <c r="B2103" s="7" t="str">
        <f>HYPERLINK("https://twitter.com/sanchezfornet","@sanchezfornet")</f>
        <v>@sanchezfornet</v>
      </c>
      <c r="C2103" s="8" t="s">
        <v>7607</v>
      </c>
      <c r="D2103" s="9" t="s">
        <v>7608</v>
      </c>
      <c r="E2103" s="10" t="str">
        <f>HYPERLINK("https://twitter.com/sanchezfornet/status/1065618656653131776","1065618656653131776")</f>
        <v>1065618656653131776</v>
      </c>
      <c r="F2103" s="11" t="s">
        <v>1353</v>
      </c>
      <c r="G2103" s="12"/>
      <c r="H2103" s="12"/>
      <c r="I2103" s="13">
        <v>1</v>
      </c>
      <c r="J2103" s="13">
        <v>4</v>
      </c>
      <c r="K2103" s="14" t="str">
        <f>HYPERLINK("http://twitter.com","Twitter Web Client")</f>
        <v>Twitter Web Client</v>
      </c>
      <c r="L2103" s="13">
        <v>11161</v>
      </c>
      <c r="M2103" s="13">
        <v>961</v>
      </c>
      <c r="N2103" s="13">
        <v>195</v>
      </c>
      <c r="O2103" s="15"/>
      <c r="P2103" s="6">
        <v>40855.37840277778</v>
      </c>
      <c r="Q2103" s="12"/>
      <c r="R2103" s="18" t="s">
        <v>7609</v>
      </c>
      <c r="S2103" s="11" t="s">
        <v>7610</v>
      </c>
      <c r="T2103" s="12"/>
      <c r="U2103" s="10" t="str">
        <f>HYPERLINK("https://pbs.twimg.com/profile_images/1061332279744782342/-VR3t5Qx.jpg","View")</f>
        <v>View</v>
      </c>
    </row>
    <row r="2104" spans="1:21" ht="20.399999999999999">
      <c r="A2104" s="6">
        <v>43426.660057870366</v>
      </c>
      <c r="B2104" s="7" t="str">
        <f>HYPERLINK("https://twitter.com/EMILIOCO98","@EMILIOCO98")</f>
        <v>@EMILIOCO98</v>
      </c>
      <c r="C2104" s="8" t="s">
        <v>7611</v>
      </c>
      <c r="D2104" s="9" t="s">
        <v>2837</v>
      </c>
      <c r="E2104" s="10" t="str">
        <f>HYPERLINK("https://twitter.com/EMILIOCO98/status/1065618527527321600","1065618527527321600")</f>
        <v>1065618527527321600</v>
      </c>
      <c r="F2104" s="11" t="s">
        <v>2838</v>
      </c>
      <c r="G2104" s="12"/>
      <c r="H2104" s="12"/>
      <c r="I2104" s="13">
        <v>0</v>
      </c>
      <c r="J2104" s="13">
        <v>0</v>
      </c>
      <c r="K2104" s="14" t="str">
        <f>HYPERLINK("https://www.google.com/","Google")</f>
        <v>Google</v>
      </c>
      <c r="L2104" s="13">
        <v>23</v>
      </c>
      <c r="M2104" s="13">
        <v>27</v>
      </c>
      <c r="N2104" s="13">
        <v>4</v>
      </c>
      <c r="O2104" s="15"/>
      <c r="P2104" s="6">
        <v>41892.769108796296</v>
      </c>
      <c r="Q2104" s="12"/>
      <c r="R2104" s="19"/>
      <c r="S2104" s="12"/>
      <c r="T2104" s="12"/>
      <c r="U2104" s="10" t="str">
        <f>HYPERLINK("https://pbs.twimg.com/profile_images/632954943981395968/atOxvZ85.jpg","View")</f>
        <v>View</v>
      </c>
    </row>
    <row r="2105" spans="1:21" ht="40.799999999999997">
      <c r="A2105" s="6">
        <v>43426.659456018519</v>
      </c>
      <c r="B2105" s="7" t="str">
        <f>HYPERLINK("https://twitter.com/lamor_laura","@lamor_laura")</f>
        <v>@lamor_laura</v>
      </c>
      <c r="C2105" s="8" t="s">
        <v>7612</v>
      </c>
      <c r="D2105" s="9" t="s">
        <v>7613</v>
      </c>
      <c r="E2105" s="10" t="str">
        <f>HYPERLINK("https://twitter.com/lamor_laura/status/1065618309842898944","1065618309842898944")</f>
        <v>1065618309842898944</v>
      </c>
      <c r="F2105" s="11" t="s">
        <v>7614</v>
      </c>
      <c r="G2105" s="12"/>
      <c r="H2105" s="12"/>
      <c r="I2105" s="13">
        <v>1</v>
      </c>
      <c r="J2105" s="13">
        <v>1</v>
      </c>
      <c r="K2105" s="14" t="str">
        <f>HYPERLINK("http://twitter.com/#!/download/ipad","Twitter for iPad")</f>
        <v>Twitter for iPad</v>
      </c>
      <c r="L2105" s="13">
        <v>4271</v>
      </c>
      <c r="M2105" s="13">
        <v>4270</v>
      </c>
      <c r="N2105" s="13">
        <v>11</v>
      </c>
      <c r="O2105" s="15"/>
      <c r="P2105" s="6">
        <v>41541.831817129627</v>
      </c>
      <c r="Q2105" s="17" t="s">
        <v>7615</v>
      </c>
      <c r="R2105" s="18" t="s">
        <v>7616</v>
      </c>
      <c r="S2105" s="12"/>
      <c r="T2105" s="12"/>
      <c r="U2105" s="10" t="str">
        <f>HYPERLINK("https://pbs.twimg.com/profile_images/857228458044293120/uU6ALOG6.jpg","View")</f>
        <v>View</v>
      </c>
    </row>
    <row r="2106" spans="1:21" ht="61.2">
      <c r="A2106" s="6">
        <v>43426.657847222217</v>
      </c>
      <c r="B2106" s="7" t="str">
        <f>HYPERLINK("https://twitter.com/AveriadosAve","@AveriadosAve")</f>
        <v>@AveriadosAve</v>
      </c>
      <c r="C2106" s="8" t="s">
        <v>4929</v>
      </c>
      <c r="D2106" s="9" t="s">
        <v>7617</v>
      </c>
      <c r="E2106" s="10" t="str">
        <f>HYPERLINK("https://twitter.com/AveriadosAve/status/1065617725253447682","1065617725253447682")</f>
        <v>1065617725253447682</v>
      </c>
      <c r="F2106" s="11" t="s">
        <v>7618</v>
      </c>
      <c r="G2106" s="11" t="s">
        <v>7619</v>
      </c>
      <c r="H2106" s="12"/>
      <c r="I2106" s="13">
        <v>0</v>
      </c>
      <c r="J2106" s="13">
        <v>0</v>
      </c>
      <c r="K2106" s="14" t="str">
        <f t="shared" ref="K2106:K2108" si="346">HYPERLINK("http://twitter.com","Twitter Web Client")</f>
        <v>Twitter Web Client</v>
      </c>
      <c r="L2106" s="13">
        <v>1034</v>
      </c>
      <c r="M2106" s="13">
        <v>1198</v>
      </c>
      <c r="N2106" s="13">
        <v>5</v>
      </c>
      <c r="O2106" s="15"/>
      <c r="P2106" s="6">
        <v>42026.972129629634</v>
      </c>
      <c r="Q2106" s="12"/>
      <c r="R2106" s="18" t="s">
        <v>4932</v>
      </c>
      <c r="S2106" s="12"/>
      <c r="T2106" s="12"/>
      <c r="U2106" s="10" t="str">
        <f>HYPERLINK("https://pbs.twimg.com/profile_images/914981862933753862/00Zo8Rx6.jpg","View")</f>
        <v>View</v>
      </c>
    </row>
    <row r="2107" spans="1:21" ht="30.6">
      <c r="A2107" s="6">
        <v>43426.657592592594</v>
      </c>
      <c r="B2107" s="7" t="str">
        <f>HYPERLINK("https://twitter.com/AmandaM44683486","@AmandaM44683486")</f>
        <v>@AmandaM44683486</v>
      </c>
      <c r="C2107" s="8" t="s">
        <v>7620</v>
      </c>
      <c r="D2107" s="9" t="s">
        <v>7621</v>
      </c>
      <c r="E2107" s="10" t="str">
        <f>HYPERLINK("https://twitter.com/AmandaM44683486/status/1065617631238127617","1065617631238127617")</f>
        <v>1065617631238127617</v>
      </c>
      <c r="F2107" s="12"/>
      <c r="G2107" s="12"/>
      <c r="H2107" s="12"/>
      <c r="I2107" s="13">
        <v>0</v>
      </c>
      <c r="J2107" s="13">
        <v>0</v>
      </c>
      <c r="K2107" s="14" t="str">
        <f t="shared" si="346"/>
        <v>Twitter Web Client</v>
      </c>
      <c r="L2107" s="13">
        <v>1</v>
      </c>
      <c r="M2107" s="13">
        <v>30</v>
      </c>
      <c r="N2107" s="13">
        <v>0</v>
      </c>
      <c r="O2107" s="15"/>
      <c r="P2107" s="6">
        <v>43426.632777777777</v>
      </c>
      <c r="Q2107" s="17" t="s">
        <v>40</v>
      </c>
      <c r="R2107" s="18" t="s">
        <v>7622</v>
      </c>
      <c r="S2107" s="11" t="s">
        <v>7623</v>
      </c>
      <c r="T2107" s="12"/>
      <c r="U2107" s="10" t="str">
        <f>HYPERLINK("https://pbs.twimg.com/profile_images/1065621178251804672/jWE3_xvz.jpg","View")</f>
        <v>View</v>
      </c>
    </row>
    <row r="2108" spans="1:21" ht="20.399999999999999">
      <c r="A2108" s="6">
        <v>43426.656585648147</v>
      </c>
      <c r="B2108" s="7" t="str">
        <f>HYPERLINK("https://twitter.com/elcuestin","@elcuestin")</f>
        <v>@elcuestin</v>
      </c>
      <c r="C2108" s="8" t="s">
        <v>7464</v>
      </c>
      <c r="D2108" s="9" t="s">
        <v>7624</v>
      </c>
      <c r="E2108" s="10" t="str">
        <f>HYPERLINK("https://twitter.com/elcuestin/status/1065617267495485440","1065617267495485440")</f>
        <v>1065617267495485440</v>
      </c>
      <c r="F2108" s="11" t="s">
        <v>753</v>
      </c>
      <c r="G2108" s="12"/>
      <c r="H2108" s="12"/>
      <c r="I2108" s="13">
        <v>0</v>
      </c>
      <c r="J2108" s="13">
        <v>0</v>
      </c>
      <c r="K2108" s="14" t="str">
        <f t="shared" si="346"/>
        <v>Twitter Web Client</v>
      </c>
      <c r="L2108" s="13">
        <v>393</v>
      </c>
      <c r="M2108" s="13">
        <v>783</v>
      </c>
      <c r="N2108" s="13">
        <v>8</v>
      </c>
      <c r="O2108" s="15"/>
      <c r="P2108" s="6">
        <v>41998.559687500005</v>
      </c>
      <c r="Q2108" s="12"/>
      <c r="R2108" s="19"/>
      <c r="S2108" s="12"/>
      <c r="T2108" s="12"/>
      <c r="U2108" s="10" t="str">
        <f>HYPERLINK("https://pbs.twimg.com/profile_images/549945155512324099/0o1aVO2Q.jpeg","View")</f>
        <v>View</v>
      </c>
    </row>
    <row r="2109" spans="1:21" ht="61.2">
      <c r="A2109" s="6">
        <v>43426.656064814815</v>
      </c>
      <c r="B2109" s="7" t="str">
        <f>HYPERLINK("https://twitter.com/andySPETNAZ","@andySPETNAZ")</f>
        <v>@andySPETNAZ</v>
      </c>
      <c r="C2109" s="8" t="s">
        <v>7625</v>
      </c>
      <c r="D2109" s="9" t="s">
        <v>7626</v>
      </c>
      <c r="E2109" s="10" t="str">
        <f>HYPERLINK("https://twitter.com/andySPETNAZ/status/1065617077023719424","1065617077023719424")</f>
        <v>1065617077023719424</v>
      </c>
      <c r="F2109" s="11" t="s">
        <v>7627</v>
      </c>
      <c r="G2109" s="12"/>
      <c r="H2109" s="12"/>
      <c r="I2109" s="13">
        <v>0</v>
      </c>
      <c r="J2109" s="13">
        <v>0</v>
      </c>
      <c r="K2109" s="14" t="str">
        <f>HYPERLINK("http://twitter.com/download/android","Twitter for Android")</f>
        <v>Twitter for Android</v>
      </c>
      <c r="L2109" s="13">
        <v>467</v>
      </c>
      <c r="M2109" s="13">
        <v>972</v>
      </c>
      <c r="N2109" s="13">
        <v>7</v>
      </c>
      <c r="O2109" s="15"/>
      <c r="P2109" s="6">
        <v>41119.028240740743</v>
      </c>
      <c r="Q2109" s="17" t="s">
        <v>7628</v>
      </c>
      <c r="R2109" s="18" t="s">
        <v>7629</v>
      </c>
      <c r="S2109" s="12"/>
      <c r="T2109" s="12"/>
      <c r="U2109" s="10" t="str">
        <f>HYPERLINK("https://pbs.twimg.com/profile_images/1024266410434994177/s7dxqUBv.jpg","View")</f>
        <v>View</v>
      </c>
    </row>
    <row r="2110" spans="1:21" ht="13.2">
      <c r="A2110" s="6">
        <v>43426.655706018515</v>
      </c>
      <c r="B2110" s="7" t="str">
        <f>HYPERLINK("https://twitter.com/lagavulin25","@lagavulin25")</f>
        <v>@lagavulin25</v>
      </c>
      <c r="C2110" s="8" t="s">
        <v>7630</v>
      </c>
      <c r="D2110" s="9" t="s">
        <v>7631</v>
      </c>
      <c r="E2110" s="10" t="str">
        <f>HYPERLINK("https://twitter.com/lagavulin25/status/1065616948912885760","1065616948912885760")</f>
        <v>1065616948912885760</v>
      </c>
      <c r="F2110" s="12"/>
      <c r="G2110" s="12"/>
      <c r="H2110" s="12"/>
      <c r="I2110" s="13">
        <v>0</v>
      </c>
      <c r="J2110" s="13">
        <v>1</v>
      </c>
      <c r="K2110" s="14" t="str">
        <f>HYPERLINK("http://twitter.com/download/iphone","Twitter for iPhone")</f>
        <v>Twitter for iPhone</v>
      </c>
      <c r="L2110" s="13">
        <v>685</v>
      </c>
      <c r="M2110" s="13">
        <v>118</v>
      </c>
      <c r="N2110" s="13">
        <v>10</v>
      </c>
      <c r="O2110" s="15"/>
      <c r="P2110" s="6">
        <v>41564.839930555558</v>
      </c>
      <c r="Q2110" s="17" t="s">
        <v>2842</v>
      </c>
      <c r="R2110" s="19"/>
      <c r="S2110" s="12"/>
      <c r="T2110" s="12"/>
      <c r="U2110" s="10" t="str">
        <f>HYPERLINK("https://pbs.twimg.com/profile_images/1059748504841654272/sc-k5RWE.jpg","View")</f>
        <v>View</v>
      </c>
    </row>
    <row r="2111" spans="1:21" ht="71.400000000000006">
      <c r="A2111" s="6">
        <v>43426.655671296292</v>
      </c>
      <c r="B2111" s="7" t="str">
        <f>HYPERLINK("https://twitter.com/Argitxu6","@Argitxu6")</f>
        <v>@Argitxu6</v>
      </c>
      <c r="C2111" s="8" t="s">
        <v>7632</v>
      </c>
      <c r="D2111" s="9" t="s">
        <v>7633</v>
      </c>
      <c r="E2111" s="10" t="str">
        <f>HYPERLINK("https://twitter.com/Argitxu6/status/1065616937181429761","1065616937181429761")</f>
        <v>1065616937181429761</v>
      </c>
      <c r="F2111" s="11" t="s">
        <v>7634</v>
      </c>
      <c r="G2111" s="11" t="s">
        <v>7635</v>
      </c>
      <c r="H2111" s="12"/>
      <c r="I2111" s="13">
        <v>0</v>
      </c>
      <c r="J2111" s="13">
        <v>0</v>
      </c>
      <c r="K2111" s="14" t="str">
        <f>HYPERLINK("http://twitter.com/download/android","Twitter for Android")</f>
        <v>Twitter for Android</v>
      </c>
      <c r="L2111" s="13">
        <v>137</v>
      </c>
      <c r="M2111" s="13">
        <v>234</v>
      </c>
      <c r="N2111" s="13">
        <v>0</v>
      </c>
      <c r="O2111" s="15"/>
      <c r="P2111" s="6">
        <v>43176.906284722223</v>
      </c>
      <c r="Q2111" s="17" t="s">
        <v>28</v>
      </c>
      <c r="R2111" s="18" t="s">
        <v>7636</v>
      </c>
      <c r="S2111" s="12"/>
      <c r="T2111" s="12"/>
      <c r="U2111" s="10" t="str">
        <f>HYPERLINK("https://pbs.twimg.com/profile_images/975112104767377411/OTznpf_6.jpg","View")</f>
        <v>View</v>
      </c>
    </row>
    <row r="2112" spans="1:21" ht="40.799999999999997">
      <c r="A2112" s="6">
        <v>43426.655312499999</v>
      </c>
      <c r="B2112" s="7" t="str">
        <f>HYPERLINK("https://twitter.com/miguelmarcoruiz","@miguelmarcoruiz")</f>
        <v>@miguelmarcoruiz</v>
      </c>
      <c r="C2112" s="8" t="s">
        <v>7637</v>
      </c>
      <c r="D2112" s="9" t="s">
        <v>7638</v>
      </c>
      <c r="E2112" s="10" t="str">
        <f>HYPERLINK("https://twitter.com/miguelmarcoruiz/status/1065616805794930688","1065616805794930688")</f>
        <v>1065616805794930688</v>
      </c>
      <c r="F2112" s="11" t="s">
        <v>7639</v>
      </c>
      <c r="G2112" s="12"/>
      <c r="H2112" s="12"/>
      <c r="I2112" s="13">
        <v>144</v>
      </c>
      <c r="J2112" s="13">
        <v>99</v>
      </c>
      <c r="K2112" s="14" t="str">
        <f>HYPERLINK("http://twitter.com","Twitter Web Client")</f>
        <v>Twitter Web Client</v>
      </c>
      <c r="L2112" s="13">
        <v>11583</v>
      </c>
      <c r="M2112" s="13">
        <v>6789</v>
      </c>
      <c r="N2112" s="13">
        <v>71</v>
      </c>
      <c r="O2112" s="15"/>
      <c r="P2112" s="6">
        <v>40446.785636574074</v>
      </c>
      <c r="Q2112" s="17" t="s">
        <v>7640</v>
      </c>
      <c r="R2112" s="18" t="s">
        <v>7641</v>
      </c>
      <c r="S2112" s="11" t="s">
        <v>7642</v>
      </c>
      <c r="T2112" s="12"/>
      <c r="U2112" s="10" t="str">
        <f>HYPERLINK("https://pbs.twimg.com/profile_images/949978916508372992/17_JLLl8.jpg","View")</f>
        <v>View</v>
      </c>
    </row>
    <row r="2113" spans="1:21" ht="40.799999999999997">
      <c r="A2113" s="6">
        <v>43426.654270833329</v>
      </c>
      <c r="B2113" s="7" t="str">
        <f>HYPERLINK("https://twitter.com/abmsantacruz","@abmsantacruz")</f>
        <v>@abmsantacruz</v>
      </c>
      <c r="C2113" s="8" t="s">
        <v>7643</v>
      </c>
      <c r="D2113" s="9" t="s">
        <v>7644</v>
      </c>
      <c r="E2113" s="10" t="str">
        <f>HYPERLINK("https://twitter.com/abmsantacruz/status/1065616429184155648","1065616429184155648")</f>
        <v>1065616429184155648</v>
      </c>
      <c r="F2113" s="11" t="s">
        <v>607</v>
      </c>
      <c r="G2113" s="12"/>
      <c r="H2113" s="12"/>
      <c r="I2113" s="13">
        <v>0</v>
      </c>
      <c r="J2113" s="13">
        <v>0</v>
      </c>
      <c r="K2113" s="14" t="str">
        <f>HYPERLINK("https://paper.li","Paper.li")</f>
        <v>Paper.li</v>
      </c>
      <c r="L2113" s="13">
        <v>94</v>
      </c>
      <c r="M2113" s="13">
        <v>217</v>
      </c>
      <c r="N2113" s="13">
        <v>0</v>
      </c>
      <c r="O2113" s="15"/>
      <c r="P2113" s="6">
        <v>42962.829745370371</v>
      </c>
      <c r="Q2113" s="17" t="s">
        <v>104</v>
      </c>
      <c r="R2113" s="18" t="s">
        <v>7645</v>
      </c>
      <c r="S2113" s="11" t="s">
        <v>7646</v>
      </c>
      <c r="T2113" s="12"/>
      <c r="U2113" s="10" t="str">
        <f>HYPERLINK("https://pbs.twimg.com/profile_images/897517977481998336/hWIYwFg7.jpg","View")</f>
        <v>View</v>
      </c>
    </row>
    <row r="2114" spans="1:21" ht="20.399999999999999">
      <c r="A2114" s="6">
        <v>43426.65388888889</v>
      </c>
      <c r="B2114" s="7" t="str">
        <f>HYPERLINK("https://twitter.com/Info_jaen","@Info_jaen")</f>
        <v>@Info_jaen</v>
      </c>
      <c r="C2114" s="8" t="s">
        <v>7647</v>
      </c>
      <c r="D2114" s="9" t="s">
        <v>5713</v>
      </c>
      <c r="E2114" s="10" t="str">
        <f>HYPERLINK("https://twitter.com/Info_jaen/status/1065616292294664192","1065616292294664192")</f>
        <v>1065616292294664192</v>
      </c>
      <c r="F2114" s="11" t="s">
        <v>7648</v>
      </c>
      <c r="G2114" s="11" t="s">
        <v>7649</v>
      </c>
      <c r="H2114" s="12"/>
      <c r="I2114" s="13">
        <v>0</v>
      </c>
      <c r="J2114" s="13">
        <v>0</v>
      </c>
      <c r="K2114" s="14" t="str">
        <f>HYPERLINK("http://publicize.wp.com/","WordPress.com")</f>
        <v>WordPress.com</v>
      </c>
      <c r="L2114" s="13">
        <v>324</v>
      </c>
      <c r="M2114" s="13">
        <v>2179</v>
      </c>
      <c r="N2114" s="13">
        <v>3</v>
      </c>
      <c r="O2114" s="15"/>
      <c r="P2114" s="6">
        <v>43275.867048611108</v>
      </c>
      <c r="Q2114" s="17" t="s">
        <v>3391</v>
      </c>
      <c r="R2114" s="18" t="s">
        <v>7650</v>
      </c>
      <c r="S2114" s="11" t="s">
        <v>7651</v>
      </c>
      <c r="T2114" s="12"/>
      <c r="U2114" s="10" t="str">
        <f>HYPERLINK("https://pbs.twimg.com/profile_images/1010959335231492098/HA9tv05K.jpg","View")</f>
        <v>View</v>
      </c>
    </row>
    <row r="2115" spans="1:21" ht="51">
      <c r="A2115" s="6">
        <v>43426.65347222222</v>
      </c>
      <c r="B2115" s="7" t="str">
        <f>HYPERLINK("https://twitter.com/dani3pa_","@dani3pa_")</f>
        <v>@dani3pa_</v>
      </c>
      <c r="C2115" s="8" t="s">
        <v>7652</v>
      </c>
      <c r="D2115" s="9" t="s">
        <v>7653</v>
      </c>
      <c r="E2115" s="10" t="str">
        <f>HYPERLINK("https://twitter.com/dani3pa_/status/1065616138359443457","1065616138359443457")</f>
        <v>1065616138359443457</v>
      </c>
      <c r="F2115" s="17" t="s">
        <v>7654</v>
      </c>
      <c r="G2115" s="11" t="s">
        <v>7655</v>
      </c>
      <c r="H2115" s="12"/>
      <c r="I2115" s="13">
        <v>0</v>
      </c>
      <c r="J2115" s="13">
        <v>0</v>
      </c>
      <c r="K2115" s="14" t="str">
        <f>HYPERLINK("http://twitter.com/download/android","Twitter for Android")</f>
        <v>Twitter for Android</v>
      </c>
      <c r="L2115" s="13">
        <v>250</v>
      </c>
      <c r="M2115" s="13">
        <v>384</v>
      </c>
      <c r="N2115" s="13">
        <v>2</v>
      </c>
      <c r="O2115" s="15"/>
      <c r="P2115" s="6">
        <v>40872.808865740742</v>
      </c>
      <c r="Q2115" s="17" t="s">
        <v>7656</v>
      </c>
      <c r="R2115" s="18" t="s">
        <v>7657</v>
      </c>
      <c r="S2115" s="11" t="s">
        <v>7658</v>
      </c>
      <c r="T2115" s="12"/>
      <c r="U2115" s="10" t="str">
        <f>HYPERLINK("https://pbs.twimg.com/profile_images/1050395454498848768/SKN8-30b.jpg","View")</f>
        <v>View</v>
      </c>
    </row>
    <row r="2116" spans="1:21" ht="71.400000000000006">
      <c r="A2116" s="6">
        <v>43426.652789351851</v>
      </c>
      <c r="B2116" s="7" t="str">
        <f>HYPERLINK("https://twitter.com/luzmarinaotaola","@luzmarinaotaola")</f>
        <v>@luzmarinaotaola</v>
      </c>
      <c r="C2116" s="8" t="s">
        <v>2731</v>
      </c>
      <c r="D2116" s="9" t="s">
        <v>7659</v>
      </c>
      <c r="E2116" s="10" t="str">
        <f>HYPERLINK("https://twitter.com/luzmarinaotaola/status/1065615892397084673","1065615892397084673")</f>
        <v>1065615892397084673</v>
      </c>
      <c r="F2116" s="17" t="s">
        <v>7660</v>
      </c>
      <c r="G2116" s="12"/>
      <c r="H2116" s="12"/>
      <c r="I2116" s="13">
        <v>0</v>
      </c>
      <c r="J2116" s="13">
        <v>1</v>
      </c>
      <c r="K2116" s="14" t="str">
        <f t="shared" ref="K2116:K2119" si="347">HYPERLINK("http://twitter.com","Twitter Web Client")</f>
        <v>Twitter Web Client</v>
      </c>
      <c r="L2116" s="13">
        <v>1553</v>
      </c>
      <c r="M2116" s="13">
        <v>1814</v>
      </c>
      <c r="N2116" s="13">
        <v>12</v>
      </c>
      <c r="O2116" s="15"/>
      <c r="P2116" s="6">
        <v>40264.869097222225</v>
      </c>
      <c r="Q2116" s="17" t="s">
        <v>2733</v>
      </c>
      <c r="R2116" s="18" t="s">
        <v>2734</v>
      </c>
      <c r="S2116" s="12"/>
      <c r="T2116" s="12"/>
      <c r="U2116" s="10" t="str">
        <f>HYPERLINK("https://pbs.twimg.com/profile_images/1050911842510483456/Q-429Igk.jpg","View")</f>
        <v>View</v>
      </c>
    </row>
    <row r="2117" spans="1:21" ht="30.6">
      <c r="A2117" s="6">
        <v>43426.65252314815</v>
      </c>
      <c r="B2117" s="7" t="str">
        <f>HYPERLINK("https://twitter.com/CapitanManuel1","@CapitanManuel1")</f>
        <v>@CapitanManuel1</v>
      </c>
      <c r="C2117" s="8" t="s">
        <v>7661</v>
      </c>
      <c r="D2117" s="9" t="s">
        <v>7662</v>
      </c>
      <c r="E2117" s="10" t="str">
        <f>HYPERLINK("https://twitter.com/CapitanManuel1/status/1065615797563916288","1065615797563916288")</f>
        <v>1065615797563916288</v>
      </c>
      <c r="F2117" s="12"/>
      <c r="G2117" s="11" t="s">
        <v>7663</v>
      </c>
      <c r="H2117" s="12"/>
      <c r="I2117" s="13">
        <v>2</v>
      </c>
      <c r="J2117" s="13">
        <v>2</v>
      </c>
      <c r="K2117" s="14" t="str">
        <f t="shared" si="347"/>
        <v>Twitter Web Client</v>
      </c>
      <c r="L2117" s="13">
        <v>10905</v>
      </c>
      <c r="M2117" s="13">
        <v>4619</v>
      </c>
      <c r="N2117" s="13">
        <v>128</v>
      </c>
      <c r="O2117" s="15"/>
      <c r="P2117" s="6">
        <v>40788.125324074077</v>
      </c>
      <c r="Q2117" s="12"/>
      <c r="R2117" s="18" t="s">
        <v>7664</v>
      </c>
      <c r="S2117" s="12"/>
      <c r="T2117" s="12"/>
      <c r="U2117" s="10" t="str">
        <f>HYPERLINK("https://pbs.twimg.com/profile_images/1781390506/IMG_1950.jpg","View")</f>
        <v>View</v>
      </c>
    </row>
    <row r="2118" spans="1:21" ht="30.6">
      <c r="A2118" s="6">
        <v>43426.652071759258</v>
      </c>
      <c r="B2118" s="7" t="str">
        <f>HYPERLINK("https://twitter.com/vdelaserna","@vdelaserna")</f>
        <v>@vdelaserna</v>
      </c>
      <c r="C2118" s="8" t="s">
        <v>7665</v>
      </c>
      <c r="D2118" s="9" t="s">
        <v>7666</v>
      </c>
      <c r="E2118" s="10" t="str">
        <f>HYPERLINK("https://twitter.com/vdelaserna/status/1065615632237019136","1065615632237019136")</f>
        <v>1065615632237019136</v>
      </c>
      <c r="F2118" s="11" t="s">
        <v>7667</v>
      </c>
      <c r="G2118" s="12"/>
      <c r="H2118" s="12"/>
      <c r="I2118" s="13">
        <v>5</v>
      </c>
      <c r="J2118" s="13">
        <v>5</v>
      </c>
      <c r="K2118" s="14" t="str">
        <f t="shared" si="347"/>
        <v>Twitter Web Client</v>
      </c>
      <c r="L2118" s="13">
        <v>17595</v>
      </c>
      <c r="M2118" s="13">
        <v>721</v>
      </c>
      <c r="N2118" s="13">
        <v>648</v>
      </c>
      <c r="O2118" s="15"/>
      <c r="P2118" s="6">
        <v>39991.439282407409</v>
      </c>
      <c r="Q2118" s="17" t="s">
        <v>7668</v>
      </c>
      <c r="R2118" s="18" t="s">
        <v>7669</v>
      </c>
      <c r="S2118" s="11" t="s">
        <v>7670</v>
      </c>
      <c r="T2118" s="12"/>
      <c r="U2118" s="10" t="str">
        <f>HYPERLINK("https://pbs.twimg.com/profile_images/2045860224/Brindis.jpg","View")</f>
        <v>View</v>
      </c>
    </row>
    <row r="2119" spans="1:21" ht="81.599999999999994">
      <c r="A2119" s="6">
        <v>43426.651828703703</v>
      </c>
      <c r="B2119" s="7" t="str">
        <f>HYPERLINK("https://twitter.com/CapitanManuel1","@CapitanManuel1")</f>
        <v>@CapitanManuel1</v>
      </c>
      <c r="C2119" s="8" t="s">
        <v>7661</v>
      </c>
      <c r="D2119" s="9" t="s">
        <v>7671</v>
      </c>
      <c r="E2119" s="10" t="str">
        <f>HYPERLINK("https://twitter.com/CapitanManuel1/status/1065615541958774790","1065615541958774790")</f>
        <v>1065615541958774790</v>
      </c>
      <c r="F2119" s="17" t="s">
        <v>7674</v>
      </c>
      <c r="G2119" s="11" t="s">
        <v>7675</v>
      </c>
      <c r="H2119" s="12"/>
      <c r="I2119" s="13">
        <v>0</v>
      </c>
      <c r="J2119" s="13">
        <v>0</v>
      </c>
      <c r="K2119" s="14" t="str">
        <f t="shared" si="347"/>
        <v>Twitter Web Client</v>
      </c>
      <c r="L2119" s="13">
        <v>10905</v>
      </c>
      <c r="M2119" s="13">
        <v>4619</v>
      </c>
      <c r="N2119" s="13">
        <v>128</v>
      </c>
      <c r="O2119" s="15"/>
      <c r="P2119" s="6">
        <v>40788.125324074077</v>
      </c>
      <c r="Q2119" s="12"/>
      <c r="R2119" s="18" t="s">
        <v>7664</v>
      </c>
      <c r="S2119" s="12"/>
      <c r="T2119" s="12"/>
      <c r="U2119" s="10" t="str">
        <f>HYPERLINK("https://pbs.twimg.com/profile_images/1781390506/IMG_1950.jpg","View")</f>
        <v>View</v>
      </c>
    </row>
    <row r="2120" spans="1:21" ht="40.799999999999997">
      <c r="A2120" s="6">
        <v>43426.651817129634</v>
      </c>
      <c r="B2120" s="7" t="str">
        <f>HYPERLINK("https://twitter.com/FiniTorralba","@FiniTorralba")</f>
        <v>@FiniTorralba</v>
      </c>
      <c r="C2120" s="8" t="s">
        <v>7676</v>
      </c>
      <c r="D2120" s="9" t="s">
        <v>7677</v>
      </c>
      <c r="E2120" s="10" t="str">
        <f>HYPERLINK("https://twitter.com/FiniTorralba/status/1065615539559641089","1065615539559641089")</f>
        <v>1065615539559641089</v>
      </c>
      <c r="F2120" s="11" t="s">
        <v>2691</v>
      </c>
      <c r="G2120" s="12"/>
      <c r="H2120" s="12"/>
      <c r="I2120" s="13">
        <v>0</v>
      </c>
      <c r="J2120" s="13">
        <v>0</v>
      </c>
      <c r="K2120" s="14" t="str">
        <f t="shared" ref="K2120:K2122" si="348">HYPERLINK("http://twitter.com/download/android","Twitter for Android")</f>
        <v>Twitter for Android</v>
      </c>
      <c r="L2120" s="13">
        <v>1232</v>
      </c>
      <c r="M2120" s="13">
        <v>1490</v>
      </c>
      <c r="N2120" s="13">
        <v>72</v>
      </c>
      <c r="O2120" s="15"/>
      <c r="P2120" s="6">
        <v>40835.71980324074</v>
      </c>
      <c r="Q2120" s="17" t="s">
        <v>2710</v>
      </c>
      <c r="R2120" s="18" t="s">
        <v>7678</v>
      </c>
      <c r="S2120" s="11" t="s">
        <v>7679</v>
      </c>
      <c r="T2120" s="12"/>
      <c r="U2120" s="10" t="str">
        <f>HYPERLINK("https://pbs.twimg.com/profile_images/1014154753306169344/tSn_grlC.jpg","View")</f>
        <v>View</v>
      </c>
    </row>
    <row r="2121" spans="1:21" ht="51">
      <c r="A2121" s="6">
        <v>43426.651122685187</v>
      </c>
      <c r="B2121" s="7" t="str">
        <f>HYPERLINK("https://twitter.com/MorataVox","@MorataVox")</f>
        <v>@MorataVox</v>
      </c>
      <c r="C2121" s="8" t="s">
        <v>7680</v>
      </c>
      <c r="D2121" s="9" t="s">
        <v>7681</v>
      </c>
      <c r="E2121" s="10" t="str">
        <f>HYPERLINK("https://twitter.com/MorataVox/status/1065615287423299585","1065615287423299585")</f>
        <v>1065615287423299585</v>
      </c>
      <c r="F2121" s="12"/>
      <c r="G2121" s="12"/>
      <c r="H2121" s="12"/>
      <c r="I2121" s="13">
        <v>0</v>
      </c>
      <c r="J2121" s="13">
        <v>0</v>
      </c>
      <c r="K2121" s="14" t="str">
        <f t="shared" si="348"/>
        <v>Twitter for Android</v>
      </c>
      <c r="L2121" s="13">
        <v>3</v>
      </c>
      <c r="M2121" s="13">
        <v>10</v>
      </c>
      <c r="N2121" s="13">
        <v>0</v>
      </c>
      <c r="O2121" s="15"/>
      <c r="P2121" s="6">
        <v>43279.342557870375</v>
      </c>
      <c r="Q2121" s="12"/>
      <c r="R2121" s="19"/>
      <c r="S2121" s="11" t="s">
        <v>7682</v>
      </c>
      <c r="T2121" s="12"/>
      <c r="U2121" s="10" t="str">
        <f>HYPERLINK("https://pbs.twimg.com/profile_images/1012218640781991937/Ec6FTaYq.jpg","View")</f>
        <v>View</v>
      </c>
    </row>
    <row r="2122" spans="1:21" ht="51">
      <c r="A2122" s="6">
        <v>43426.650787037041</v>
      </c>
      <c r="B2122" s="7" t="str">
        <f>HYPERLINK("https://twitter.com/JPMPranks","@JPMPranks")</f>
        <v>@JPMPranks</v>
      </c>
      <c r="C2122" s="8" t="s">
        <v>7683</v>
      </c>
      <c r="D2122" s="9" t="s">
        <v>7684</v>
      </c>
      <c r="E2122" s="10" t="str">
        <f>HYPERLINK("https://twitter.com/JPMPranks/status/1065615164999901184","1065615164999901184")</f>
        <v>1065615164999901184</v>
      </c>
      <c r="F2122" s="12"/>
      <c r="G2122" s="12"/>
      <c r="H2122" s="12"/>
      <c r="I2122" s="13">
        <v>1</v>
      </c>
      <c r="J2122" s="13">
        <v>2</v>
      </c>
      <c r="K2122" s="14" t="str">
        <f t="shared" si="348"/>
        <v>Twitter for Android</v>
      </c>
      <c r="L2122" s="13">
        <v>3220</v>
      </c>
      <c r="M2122" s="13">
        <v>260</v>
      </c>
      <c r="N2122" s="13">
        <v>53</v>
      </c>
      <c r="O2122" s="15"/>
      <c r="P2122" s="6">
        <v>41479.703958333332</v>
      </c>
      <c r="Q2122" s="17" t="s">
        <v>878</v>
      </c>
      <c r="R2122" s="18" t="s">
        <v>7685</v>
      </c>
      <c r="S2122" s="11" t="s">
        <v>7686</v>
      </c>
      <c r="T2122" s="12"/>
      <c r="U2122" s="10" t="str">
        <f>HYPERLINK("https://pbs.twimg.com/profile_images/979055557091954688/q7RcAssW.jpg","View")</f>
        <v>View</v>
      </c>
    </row>
    <row r="2123" spans="1:21" ht="30.6">
      <c r="A2123" s="6">
        <v>43426.650717592594</v>
      </c>
      <c r="B2123" s="7" t="str">
        <f>HYPERLINK("https://twitter.com/AngelHospicio","@AngelHospicio")</f>
        <v>@AngelHospicio</v>
      </c>
      <c r="C2123" s="8" t="s">
        <v>7687</v>
      </c>
      <c r="D2123" s="9" t="s">
        <v>7688</v>
      </c>
      <c r="E2123" s="10" t="str">
        <f>HYPERLINK("https://twitter.com/AngelHospicio/status/1065615139196542976","1065615139196542976")</f>
        <v>1065615139196542976</v>
      </c>
      <c r="F2123" s="12"/>
      <c r="G2123" s="12"/>
      <c r="H2123" s="12"/>
      <c r="I2123" s="13">
        <v>0</v>
      </c>
      <c r="J2123" s="13">
        <v>0</v>
      </c>
      <c r="K2123" s="14" t="str">
        <f>HYPERLINK("http://twitter.com","Twitter Web Client")</f>
        <v>Twitter Web Client</v>
      </c>
      <c r="L2123" s="13">
        <v>362</v>
      </c>
      <c r="M2123" s="13">
        <v>205</v>
      </c>
      <c r="N2123" s="13">
        <v>2</v>
      </c>
      <c r="O2123" s="15"/>
      <c r="P2123" s="6">
        <v>41096.346643518518</v>
      </c>
      <c r="Q2123" s="17" t="s">
        <v>5916</v>
      </c>
      <c r="R2123" s="18" t="s">
        <v>7689</v>
      </c>
      <c r="S2123" s="11" t="s">
        <v>7690</v>
      </c>
      <c r="T2123" s="12"/>
      <c r="U2123" s="10" t="str">
        <f>HYPERLINK("https://pbs.twimg.com/profile_images/926303151392739328/2qa_eCZw.jpg","View")</f>
        <v>View</v>
      </c>
    </row>
    <row r="2124" spans="1:21" ht="30.6">
      <c r="A2124" s="6">
        <v>43426.650694444441</v>
      </c>
      <c r="B2124" s="7" t="str">
        <f>HYPERLINK("https://twitter.com/GanaElPSOE","@GanaElPSOE")</f>
        <v>@GanaElPSOE</v>
      </c>
      <c r="C2124" s="8" t="s">
        <v>7691</v>
      </c>
      <c r="D2124" s="9" t="s">
        <v>7677</v>
      </c>
      <c r="E2124" s="10" t="str">
        <f>HYPERLINK("https://twitter.com/GanaElPSOE/status/1065615134524129281","1065615134524129281")</f>
        <v>1065615134524129281</v>
      </c>
      <c r="F2124" s="11" t="s">
        <v>2691</v>
      </c>
      <c r="G2124" s="12"/>
      <c r="H2124" s="12"/>
      <c r="I2124" s="13">
        <v>0</v>
      </c>
      <c r="J2124" s="13">
        <v>0</v>
      </c>
      <c r="K2124" s="14" t="str">
        <f>HYPERLINK("http://twitter.com/#!/download/ipad","Twitter for iPad")</f>
        <v>Twitter for iPad</v>
      </c>
      <c r="L2124" s="13">
        <v>626</v>
      </c>
      <c r="M2124" s="13">
        <v>761</v>
      </c>
      <c r="N2124" s="13">
        <v>9</v>
      </c>
      <c r="O2124" s="15"/>
      <c r="P2124" s="6">
        <v>42712.847881944443</v>
      </c>
      <c r="Q2124" s="17" t="s">
        <v>7038</v>
      </c>
      <c r="R2124" s="18" t="s">
        <v>7692</v>
      </c>
      <c r="S2124" s="12"/>
      <c r="T2124" s="12"/>
      <c r="U2124" s="10" t="str">
        <f>HYPERLINK("https://pbs.twimg.com/profile_images/1002153862881533952/SB6wgd9t.jpg","View")</f>
        <v>View</v>
      </c>
    </row>
    <row r="2125" spans="1:21" ht="30.6">
      <c r="A2125" s="6">
        <v>43426.649513888886</v>
      </c>
      <c r="B2125" s="7" t="str">
        <f>HYPERLINK("https://twitter.com/Con_sentio","@Con_sentio")</f>
        <v>@Con_sentio</v>
      </c>
      <c r="C2125" s="8" t="s">
        <v>6057</v>
      </c>
      <c r="D2125" s="9" t="s">
        <v>7693</v>
      </c>
      <c r="E2125" s="10" t="str">
        <f>HYPERLINK("https://twitter.com/Con_sentio/status/1065614704503152643","1065614704503152643")</f>
        <v>1065614704503152643</v>
      </c>
      <c r="F2125" s="12"/>
      <c r="G2125" s="11" t="s">
        <v>7694</v>
      </c>
      <c r="H2125" s="12"/>
      <c r="I2125" s="13">
        <v>0</v>
      </c>
      <c r="J2125" s="13">
        <v>2</v>
      </c>
      <c r="K2125" s="14" t="str">
        <f>HYPERLINK("http://twitter.com/download/iphone","Twitter for iPhone")</f>
        <v>Twitter for iPhone</v>
      </c>
      <c r="L2125" s="13">
        <v>1324</v>
      </c>
      <c r="M2125" s="13">
        <v>692</v>
      </c>
      <c r="N2125" s="13">
        <v>14</v>
      </c>
      <c r="O2125" s="15"/>
      <c r="P2125" s="6">
        <v>42108.914120370369</v>
      </c>
      <c r="Q2125" s="17" t="s">
        <v>277</v>
      </c>
      <c r="R2125" s="18" t="s">
        <v>6058</v>
      </c>
      <c r="S2125" s="11" t="s">
        <v>6059</v>
      </c>
      <c r="T2125" s="12"/>
      <c r="U2125" s="10" t="str">
        <f>HYPERLINK("https://pbs.twimg.com/profile_images/1013495821755736064/lgxowJjV.jpg","View")</f>
        <v>View</v>
      </c>
    </row>
    <row r="2126" spans="1:21" ht="51">
      <c r="A2126" s="6">
        <v>43426.649062500001</v>
      </c>
      <c r="B2126" s="7" t="str">
        <f>HYPERLINK("https://twitter.com/Deguantanamo","@Deguantanamo")</f>
        <v>@Deguantanamo</v>
      </c>
      <c r="C2126" s="8" t="s">
        <v>5516</v>
      </c>
      <c r="D2126" s="9" t="s">
        <v>7695</v>
      </c>
      <c r="E2126" s="10" t="str">
        <f>HYPERLINK("https://twitter.com/Deguantanamo/status/1065614542607142913","1065614542607142913")</f>
        <v>1065614542607142913</v>
      </c>
      <c r="F2126" s="12"/>
      <c r="G2126" s="11" t="s">
        <v>7696</v>
      </c>
      <c r="H2126" s="12"/>
      <c r="I2126" s="13">
        <v>3</v>
      </c>
      <c r="J2126" s="13">
        <v>4</v>
      </c>
      <c r="K2126" s="14" t="str">
        <f>HYPERLINK("https://www.hootsuite.com","Hootsuite Inc.")</f>
        <v>Hootsuite Inc.</v>
      </c>
      <c r="L2126" s="13">
        <v>3536</v>
      </c>
      <c r="M2126" s="13">
        <v>1466</v>
      </c>
      <c r="N2126" s="13">
        <v>74</v>
      </c>
      <c r="O2126" s="15"/>
      <c r="P2126" s="6">
        <v>40233.735300925924</v>
      </c>
      <c r="Q2126" s="17" t="s">
        <v>5517</v>
      </c>
      <c r="R2126" s="18" t="s">
        <v>5518</v>
      </c>
      <c r="S2126" s="12"/>
      <c r="T2126" s="12"/>
      <c r="U2126" s="10" t="str">
        <f>HYPERLINK("https://pbs.twimg.com/profile_images/427785215746912257/zx_zk2Qz.png","View")</f>
        <v>View</v>
      </c>
    </row>
    <row r="2127" spans="1:21" ht="40.799999999999997">
      <c r="A2127" s="6">
        <v>43426.648831018523</v>
      </c>
      <c r="B2127" s="7" t="str">
        <f>HYPERLINK("https://twitter.com/MasterEspanol","@MasterEspanol")</f>
        <v>@MasterEspanol</v>
      </c>
      <c r="C2127" s="8" t="s">
        <v>7697</v>
      </c>
      <c r="D2127" s="9" t="s">
        <v>7698</v>
      </c>
      <c r="E2127" s="10" t="str">
        <f>HYPERLINK("https://twitter.com/MasterEspanol/status/1065614458251296770","1065614458251296770")</f>
        <v>1065614458251296770</v>
      </c>
      <c r="F2127" s="11" t="s">
        <v>7699</v>
      </c>
      <c r="G2127" s="12"/>
      <c r="H2127" s="12"/>
      <c r="I2127" s="13">
        <v>0</v>
      </c>
      <c r="J2127" s="13">
        <v>0</v>
      </c>
      <c r="K2127" s="14" t="str">
        <f>HYPERLINK("http://nuzzel.com/","Nuzzel")</f>
        <v>Nuzzel</v>
      </c>
      <c r="L2127" s="13">
        <v>205</v>
      </c>
      <c r="M2127" s="13">
        <v>666</v>
      </c>
      <c r="N2127" s="13">
        <v>15</v>
      </c>
      <c r="O2127" s="15"/>
      <c r="P2127" s="6">
        <v>40398.986886574072</v>
      </c>
      <c r="Q2127" s="17" t="s">
        <v>7700</v>
      </c>
      <c r="R2127" s="18" t="s">
        <v>7701</v>
      </c>
      <c r="S2127" s="11" t="s">
        <v>7702</v>
      </c>
      <c r="T2127" s="12"/>
      <c r="U2127" s="10" t="str">
        <f>HYPERLINK("https://pbs.twimg.com/profile_images/483707700132732928/IRRph5Qu.jpeg","View")</f>
        <v>View</v>
      </c>
    </row>
    <row r="2128" spans="1:21" ht="61.2">
      <c r="A2128" s="6">
        <v>43426.648310185185</v>
      </c>
      <c r="B2128" s="7" t="str">
        <f>HYPERLINK("https://twitter.com/matthewbennett","@matthewbennett")</f>
        <v>@matthewbennett</v>
      </c>
      <c r="C2128" s="8" t="s">
        <v>7703</v>
      </c>
      <c r="D2128" s="9" t="s">
        <v>7704</v>
      </c>
      <c r="E2128" s="10" t="str">
        <f>HYPERLINK("https://twitter.com/matthewbennett/status/1065614267674705920","1065614267674705920")</f>
        <v>1065614267674705920</v>
      </c>
      <c r="F2128" s="17" t="s">
        <v>7705</v>
      </c>
      <c r="G2128" s="11" t="s">
        <v>7706</v>
      </c>
      <c r="H2128" s="12"/>
      <c r="I2128" s="13">
        <v>6</v>
      </c>
      <c r="J2128" s="13">
        <v>11</v>
      </c>
      <c r="K2128" s="14" t="str">
        <f>HYPERLINK("https://about.twitter.com/products/tweetdeck","TweetDeck")</f>
        <v>TweetDeck</v>
      </c>
      <c r="L2128" s="13">
        <v>21986</v>
      </c>
      <c r="M2128" s="13">
        <v>280</v>
      </c>
      <c r="N2128" s="13">
        <v>710</v>
      </c>
      <c r="O2128" s="15"/>
      <c r="P2128" s="6">
        <v>39534.721400462964</v>
      </c>
      <c r="Q2128" s="17" t="s">
        <v>436</v>
      </c>
      <c r="R2128" s="18" t="s">
        <v>7707</v>
      </c>
      <c r="S2128" s="11" t="s">
        <v>7708</v>
      </c>
      <c r="T2128" s="12"/>
      <c r="U2128" s="10" t="str">
        <f>HYPERLINK("https://pbs.twimg.com/profile_images/1054650014394396673/LH_iRZG2.jpg","View")</f>
        <v>View</v>
      </c>
    </row>
    <row r="2129" spans="1:21" ht="13.2">
      <c r="A2129" s="6">
        <v>43426.647881944446</v>
      </c>
      <c r="B2129" s="7" t="str">
        <f>HYPERLINK("https://twitter.com/RamBarr48","@RamBarr48")</f>
        <v>@RamBarr48</v>
      </c>
      <c r="C2129" s="8" t="s">
        <v>7709</v>
      </c>
      <c r="D2129" s="9" t="s">
        <v>2091</v>
      </c>
      <c r="E2129" s="10" t="str">
        <f>HYPERLINK("https://twitter.com/RamBarr48/status/1065614112464560128","1065614112464560128")</f>
        <v>1065614112464560128</v>
      </c>
      <c r="F2129" s="11" t="s">
        <v>2092</v>
      </c>
      <c r="G2129" s="12"/>
      <c r="H2129" s="12"/>
      <c r="I2129" s="13">
        <v>0</v>
      </c>
      <c r="J2129" s="13">
        <v>0</v>
      </c>
      <c r="K2129" s="14" t="str">
        <f>HYPERLINK("http://twitter.com","Twitter Web Client")</f>
        <v>Twitter Web Client</v>
      </c>
      <c r="L2129" s="13">
        <v>18</v>
      </c>
      <c r="M2129" s="13">
        <v>89</v>
      </c>
      <c r="N2129" s="13">
        <v>0</v>
      </c>
      <c r="O2129" s="15"/>
      <c r="P2129" s="6">
        <v>42080.564791666664</v>
      </c>
      <c r="Q2129" s="12"/>
      <c r="R2129" s="19"/>
      <c r="S2129" s="12"/>
      <c r="T2129" s="12"/>
      <c r="U2129" s="10" t="str">
        <f>HYPERLINK("https://pbs.twimg.com/profile_images/577814174971068416/HHhbw7Rv.jpeg","View")</f>
        <v>View</v>
      </c>
    </row>
    <row r="2130" spans="1:21" ht="51">
      <c r="A2130" s="6">
        <v>43426.647152777776</v>
      </c>
      <c r="B2130" s="7" t="str">
        <f>HYPERLINK("https://twitter.com/blogkeats","@blogkeats")</f>
        <v>@blogkeats</v>
      </c>
      <c r="C2130" s="8" t="s">
        <v>7710</v>
      </c>
      <c r="D2130" s="9" t="s">
        <v>7711</v>
      </c>
      <c r="E2130" s="10" t="str">
        <f>HYPERLINK("https://twitter.com/blogkeats/status/1065613848491819015","1065613848491819015")</f>
        <v>1065613848491819015</v>
      </c>
      <c r="F2130" s="12"/>
      <c r="G2130" s="12"/>
      <c r="H2130" s="12"/>
      <c r="I2130" s="13">
        <v>0</v>
      </c>
      <c r="J2130" s="13">
        <v>0</v>
      </c>
      <c r="K2130" s="14" t="str">
        <f>HYPERLINK("http://twitter.com/download/iphone","Twitter for iPhone")</f>
        <v>Twitter for iPhone</v>
      </c>
      <c r="L2130" s="13">
        <v>787</v>
      </c>
      <c r="M2130" s="13">
        <v>2430</v>
      </c>
      <c r="N2130" s="13">
        <v>5</v>
      </c>
      <c r="O2130" s="15"/>
      <c r="P2130" s="6">
        <v>42675.250173611115</v>
      </c>
      <c r="Q2130" s="17" t="s">
        <v>1630</v>
      </c>
      <c r="R2130" s="18" t="s">
        <v>7712</v>
      </c>
      <c r="S2130" s="11" t="s">
        <v>7713</v>
      </c>
      <c r="T2130" s="12"/>
      <c r="U2130" s="10" t="str">
        <f>HYPERLINK("https://pbs.twimg.com/profile_images/805729743899426816/zrE6547R.jpg","View")</f>
        <v>View</v>
      </c>
    </row>
    <row r="2131" spans="1:21" ht="51">
      <c r="A2131" s="6">
        <v>43426.646793981483</v>
      </c>
      <c r="B2131" s="7" t="str">
        <f>HYPERLINK("https://twitter.com/blythe_club","@blythe_club")</f>
        <v>@blythe_club</v>
      </c>
      <c r="C2131" s="8" t="s">
        <v>7714</v>
      </c>
      <c r="D2131" s="9" t="s">
        <v>7715</v>
      </c>
      <c r="E2131" s="10" t="str">
        <f>HYPERLINK("https://twitter.com/blythe_club/status/1065613720968208385","1065613720968208385")</f>
        <v>1065613720968208385</v>
      </c>
      <c r="F2131" s="12"/>
      <c r="G2131" s="12"/>
      <c r="H2131" s="12"/>
      <c r="I2131" s="13">
        <v>104</v>
      </c>
      <c r="J2131" s="13">
        <v>133</v>
      </c>
      <c r="K2131" s="14" t="str">
        <f t="shared" ref="K2131:K2132" si="349">HYPERLINK("http://twitter.com","Twitter Web Client")</f>
        <v>Twitter Web Client</v>
      </c>
      <c r="L2131" s="13">
        <v>9290</v>
      </c>
      <c r="M2131" s="13">
        <v>9354</v>
      </c>
      <c r="N2131" s="13">
        <v>107</v>
      </c>
      <c r="O2131" s="15"/>
      <c r="P2131" s="6">
        <v>40688.763182870374</v>
      </c>
      <c r="Q2131" s="17" t="s">
        <v>7716</v>
      </c>
      <c r="R2131" s="18" t="s">
        <v>7717</v>
      </c>
      <c r="S2131" s="12"/>
      <c r="T2131" s="12"/>
      <c r="U2131" s="10" t="str">
        <f>HYPERLINK("https://pbs.twimg.com/profile_images/1368631894/blythe_4.JPG","View")</f>
        <v>View</v>
      </c>
    </row>
    <row r="2132" spans="1:21" ht="51">
      <c r="A2132" s="6">
        <v>43426.646620370375</v>
      </c>
      <c r="B2132" s="7" t="str">
        <f>HYPERLINK("https://twitter.com/cristia49638871","@cristia49638871")</f>
        <v>@cristia49638871</v>
      </c>
      <c r="C2132" s="8" t="s">
        <v>4829</v>
      </c>
      <c r="D2132" s="9" t="s">
        <v>7718</v>
      </c>
      <c r="E2132" s="10" t="str">
        <f>HYPERLINK("https://twitter.com/cristia49638871/status/1065613656950534144","1065613656950534144")</f>
        <v>1065613656950534144</v>
      </c>
      <c r="F2132" s="12"/>
      <c r="G2132" s="12"/>
      <c r="H2132" s="12"/>
      <c r="I2132" s="13">
        <v>0</v>
      </c>
      <c r="J2132" s="13">
        <v>0</v>
      </c>
      <c r="K2132" s="14" t="str">
        <f t="shared" si="349"/>
        <v>Twitter Web Client</v>
      </c>
      <c r="L2132" s="13">
        <v>12</v>
      </c>
      <c r="M2132" s="13">
        <v>570</v>
      </c>
      <c r="N2132" s="13">
        <v>0</v>
      </c>
      <c r="O2132" s="15"/>
      <c r="P2132" s="6">
        <v>41328.625231481477</v>
      </c>
      <c r="Q2132" s="17" t="s">
        <v>2205</v>
      </c>
      <c r="R2132" s="19"/>
      <c r="S2132" s="12"/>
      <c r="T2132" s="12"/>
      <c r="U2132" s="10" t="str">
        <f>HYPERLINK("https://pbs.twimg.com/profile_images/3435873974/10d48fbeb25453f6c424ffb99516d193.png","View")</f>
        <v>View</v>
      </c>
    </row>
    <row r="2133" spans="1:21" ht="40.799999999999997">
      <c r="A2133" s="6">
        <v>43426.646365740744</v>
      </c>
      <c r="B2133" s="7" t="str">
        <f>HYPERLINK("https://twitter.com/RTn_Ecocars","@RTn_Ecocars")</f>
        <v>@RTn_Ecocars</v>
      </c>
      <c r="C2133" s="8" t="s">
        <v>7719</v>
      </c>
      <c r="D2133" s="9" t="s">
        <v>7720</v>
      </c>
      <c r="E2133" s="10" t="str">
        <f>HYPERLINK("https://twitter.com/RTn_Ecocars/status/1065613565594345472","1065613565594345472")</f>
        <v>1065613565594345472</v>
      </c>
      <c r="F2133" s="11" t="s">
        <v>7721</v>
      </c>
      <c r="G2133" s="12"/>
      <c r="H2133" s="12"/>
      <c r="I2133" s="13">
        <v>0</v>
      </c>
      <c r="J2133" s="13">
        <v>1</v>
      </c>
      <c r="K2133" s="14" t="str">
        <f>HYPERLINK("https://ifttt.com","IFTTT")</f>
        <v>IFTTT</v>
      </c>
      <c r="L2133" s="13">
        <v>1403</v>
      </c>
      <c r="M2133" s="13">
        <v>1302</v>
      </c>
      <c r="N2133" s="13">
        <v>53</v>
      </c>
      <c r="O2133" s="15"/>
      <c r="P2133" s="6">
        <v>42378.242812500001</v>
      </c>
      <c r="Q2133" s="17" t="s">
        <v>141</v>
      </c>
      <c r="R2133" s="18" t="s">
        <v>7722</v>
      </c>
      <c r="S2133" s="11" t="s">
        <v>7723</v>
      </c>
      <c r="T2133" s="12"/>
      <c r="U2133" s="10" t="str">
        <f>HYPERLINK("https://pbs.twimg.com/profile_images/902982629066240000/jWIuWxNJ.jpg","View")</f>
        <v>View</v>
      </c>
    </row>
    <row r="2134" spans="1:21" ht="51">
      <c r="A2134" s="6">
        <v>43426.645833333328</v>
      </c>
      <c r="B2134" s="7" t="str">
        <f>HYPERLINK("https://twitter.com/ElSaltoDiario","@ElSaltoDiario")</f>
        <v>@ElSaltoDiario</v>
      </c>
      <c r="C2134" s="8" t="s">
        <v>7724</v>
      </c>
      <c r="D2134" s="9" t="s">
        <v>7725</v>
      </c>
      <c r="E2134" s="10" t="str">
        <f>HYPERLINK("https://twitter.com/ElSaltoDiario/status/1065613372564127744","1065613372564127744")</f>
        <v>1065613372564127744</v>
      </c>
      <c r="F2134" s="11" t="s">
        <v>7726</v>
      </c>
      <c r="G2134" s="12"/>
      <c r="H2134" s="12"/>
      <c r="I2134" s="13">
        <v>1</v>
      </c>
      <c r="J2134" s="13">
        <v>9</v>
      </c>
      <c r="K2134" s="14" t="str">
        <f t="shared" ref="K2134:K2136" si="350">HYPERLINK("https://about.twitter.com/products/tweetdeck","TweetDeck")</f>
        <v>TweetDeck</v>
      </c>
      <c r="L2134" s="13">
        <v>130210</v>
      </c>
      <c r="M2134" s="13">
        <v>2110</v>
      </c>
      <c r="N2134" s="13">
        <v>3519</v>
      </c>
      <c r="O2134" s="15"/>
      <c r="P2134" s="6">
        <v>40134.942962962959</v>
      </c>
      <c r="Q2134" s="12"/>
      <c r="R2134" s="18" t="s">
        <v>7727</v>
      </c>
      <c r="S2134" s="11" t="s">
        <v>7728</v>
      </c>
      <c r="T2134" s="12"/>
      <c r="U2134" s="10" t="str">
        <f>HYPERLINK("https://pbs.twimg.com/profile_images/1013736890565095424/1EdgvW6k.jpg","View")</f>
        <v>View</v>
      </c>
    </row>
    <row r="2135" spans="1:21" ht="30.6">
      <c r="A2135" s="6">
        <v>43426.645833333328</v>
      </c>
      <c r="B2135" s="7" t="str">
        <f>HYPERLINK("https://twitter.com/tiramillas","@tiramillas")</f>
        <v>@tiramillas</v>
      </c>
      <c r="C2135" s="8" t="s">
        <v>7729</v>
      </c>
      <c r="D2135" s="9" t="s">
        <v>7730</v>
      </c>
      <c r="E2135" s="10" t="str">
        <f>HYPERLINK("https://twitter.com/tiramillas/status/1065613372203257857","1065613372203257857")</f>
        <v>1065613372203257857</v>
      </c>
      <c r="F2135" s="11" t="s">
        <v>7731</v>
      </c>
      <c r="G2135" s="11" t="s">
        <v>7732</v>
      </c>
      <c r="H2135" s="12"/>
      <c r="I2135" s="13">
        <v>0</v>
      </c>
      <c r="J2135" s="13">
        <v>2</v>
      </c>
      <c r="K2135" s="14" t="str">
        <f t="shared" si="350"/>
        <v>TweetDeck</v>
      </c>
      <c r="L2135" s="13">
        <v>8637</v>
      </c>
      <c r="M2135" s="13">
        <v>40</v>
      </c>
      <c r="N2135" s="13">
        <v>136</v>
      </c>
      <c r="O2135" s="15"/>
      <c r="P2135" s="6">
        <v>39867.503923611112</v>
      </c>
      <c r="Q2135" s="17" t="s">
        <v>72</v>
      </c>
      <c r="R2135" s="18" t="s">
        <v>7733</v>
      </c>
      <c r="S2135" s="11" t="s">
        <v>7734</v>
      </c>
      <c r="T2135" s="12"/>
      <c r="U2135" s="10" t="str">
        <f>HYPERLINK("https://pbs.twimg.com/profile_images/652463535474241536/XBm3cGC_.png","View")</f>
        <v>View</v>
      </c>
    </row>
    <row r="2136" spans="1:21" ht="40.799999999999997">
      <c r="A2136" s="6">
        <v>43426.645833333328</v>
      </c>
      <c r="B2136" s="7" t="str">
        <f>HYPERLINK("https://twitter.com/mundo_elP","@mundo_elP")</f>
        <v>@mundo_elP</v>
      </c>
      <c r="C2136" s="8" t="s">
        <v>4241</v>
      </c>
      <c r="D2136" s="9" t="s">
        <v>7735</v>
      </c>
      <c r="E2136" s="10" t="str">
        <f>HYPERLINK("https://twitter.com/mundo_elP/status/1065613371066732544","1065613371066732544")</f>
        <v>1065613371066732544</v>
      </c>
      <c r="F2136" s="12"/>
      <c r="G2136" s="11" t="s">
        <v>7736</v>
      </c>
      <c r="H2136" s="12"/>
      <c r="I2136" s="13">
        <v>3</v>
      </c>
      <c r="J2136" s="13">
        <v>4</v>
      </c>
      <c r="K2136" s="14" t="str">
        <f t="shared" si="350"/>
        <v>TweetDeck</v>
      </c>
      <c r="L2136" s="13">
        <v>2369</v>
      </c>
      <c r="M2136" s="13">
        <v>52</v>
      </c>
      <c r="N2136" s="13">
        <v>21</v>
      </c>
      <c r="O2136" s="15"/>
      <c r="P2136" s="6">
        <v>42443.301979166667</v>
      </c>
      <c r="Q2136" s="12"/>
      <c r="R2136" s="18" t="s">
        <v>4244</v>
      </c>
      <c r="S2136" s="12"/>
      <c r="T2136" s="12"/>
      <c r="U2136" s="10" t="str">
        <f>HYPERLINK("https://pbs.twimg.com/profile_images/1035639165420032000/h52pXPRA.jpg","View")</f>
        <v>View</v>
      </c>
    </row>
    <row r="2137" spans="1:21" ht="40.799999999999997">
      <c r="A2137" s="6">
        <v>43426.64565972222</v>
      </c>
      <c r="B2137" s="7" t="str">
        <f>HYPERLINK("https://twitter.com/Emovilidad","@Emovilidad")</f>
        <v>@Emovilidad</v>
      </c>
      <c r="C2137" s="8" t="s">
        <v>7737</v>
      </c>
      <c r="D2137" s="9" t="s">
        <v>6778</v>
      </c>
      <c r="E2137" s="10" t="str">
        <f>HYPERLINK("https://twitter.com/Emovilidad/status/1065613308936560642","1065613308936560642")</f>
        <v>1065613308936560642</v>
      </c>
      <c r="F2137" s="11" t="s">
        <v>7738</v>
      </c>
      <c r="G2137" s="12"/>
      <c r="H2137" s="12"/>
      <c r="I2137" s="13">
        <v>3</v>
      </c>
      <c r="J2137" s="13">
        <v>6</v>
      </c>
      <c r="K2137" s="14" t="str">
        <f>HYPERLINK("http://twitter.com","Twitter Web Client")</f>
        <v>Twitter Web Client</v>
      </c>
      <c r="L2137" s="13">
        <v>6129</v>
      </c>
      <c r="M2137" s="13">
        <v>390</v>
      </c>
      <c r="N2137" s="13">
        <v>165</v>
      </c>
      <c r="O2137" s="15"/>
      <c r="P2137" s="6">
        <v>41218.805625000001</v>
      </c>
      <c r="Q2137" s="17" t="s">
        <v>72</v>
      </c>
      <c r="R2137" s="18" t="s">
        <v>7739</v>
      </c>
      <c r="S2137" s="11" t="s">
        <v>7740</v>
      </c>
      <c r="T2137" s="12"/>
      <c r="U2137" s="10" t="str">
        <f>HYPERLINK("https://pbs.twimg.com/profile_images/2811420815/71276a64ecb02961d60f877f77884304.png","View")</f>
        <v>View</v>
      </c>
    </row>
    <row r="2138" spans="1:21" ht="40.799999999999997">
      <c r="A2138" s="6">
        <v>43426.645636574074</v>
      </c>
      <c r="B2138" s="7" t="str">
        <f>HYPERLINK("https://twitter.com/omniaveritas_","@omniaveritas_")</f>
        <v>@omniaveritas_</v>
      </c>
      <c r="C2138" s="8" t="s">
        <v>7741</v>
      </c>
      <c r="D2138" s="9" t="s">
        <v>7742</v>
      </c>
      <c r="E2138" s="10" t="str">
        <f>HYPERLINK("https://twitter.com/omniaveritas_/status/1065613298186506241","1065613298186506241")</f>
        <v>1065613298186506241</v>
      </c>
      <c r="F2138" s="11" t="s">
        <v>716</v>
      </c>
      <c r="G2138" s="12"/>
      <c r="H2138" s="12"/>
      <c r="I2138" s="13">
        <v>0</v>
      </c>
      <c r="J2138" s="13">
        <v>0</v>
      </c>
      <c r="K2138" s="14" t="str">
        <f>HYPERLINK("http://twitter.com/download/iphone","Twitter for iPhone")</f>
        <v>Twitter for iPhone</v>
      </c>
      <c r="L2138" s="13">
        <v>1672</v>
      </c>
      <c r="M2138" s="13">
        <v>1573</v>
      </c>
      <c r="N2138" s="13">
        <v>14</v>
      </c>
      <c r="O2138" s="15"/>
      <c r="P2138" s="6">
        <v>42289.668807870374</v>
      </c>
      <c r="Q2138" s="17" t="s">
        <v>7743</v>
      </c>
      <c r="R2138" s="18" t="s">
        <v>7744</v>
      </c>
      <c r="S2138" s="12"/>
      <c r="T2138" s="12"/>
      <c r="U2138" s="10" t="str">
        <f>HYPERLINK("https://pbs.twimg.com/profile_images/983077162994552832/OnsJG4ib.jpg","View")</f>
        <v>View</v>
      </c>
    </row>
    <row r="2139" spans="1:21" ht="40.799999999999997">
      <c r="A2139" s="6">
        <v>43426.645185185189</v>
      </c>
      <c r="B2139" s="7" t="str">
        <f>HYPERLINK("https://twitter.com/TRAGATEL0","@TRAGATEL0")</f>
        <v>@TRAGATEL0</v>
      </c>
      <c r="C2139" s="8" t="s">
        <v>2522</v>
      </c>
      <c r="D2139" s="9" t="s">
        <v>7745</v>
      </c>
      <c r="E2139" s="10" t="str">
        <f>HYPERLINK("https://twitter.com/TRAGATEL0/status/1065613135078457344","1065613135078457344")</f>
        <v>1065613135078457344</v>
      </c>
      <c r="F2139" s="12"/>
      <c r="G2139" s="12"/>
      <c r="H2139" s="12"/>
      <c r="I2139" s="13">
        <v>0</v>
      </c>
      <c r="J2139" s="13">
        <v>1</v>
      </c>
      <c r="K2139" s="14" t="str">
        <f>HYPERLINK("http://twitter.com","Twitter Web Client")</f>
        <v>Twitter Web Client</v>
      </c>
      <c r="L2139" s="13">
        <v>2406</v>
      </c>
      <c r="M2139" s="13">
        <v>2633</v>
      </c>
      <c r="N2139" s="13">
        <v>51</v>
      </c>
      <c r="O2139" s="15"/>
      <c r="P2139" s="6">
        <v>42600.667349537034</v>
      </c>
      <c r="Q2139" s="12"/>
      <c r="R2139" s="18" t="s">
        <v>2525</v>
      </c>
      <c r="S2139" s="11" t="s">
        <v>2526</v>
      </c>
      <c r="T2139" s="12"/>
      <c r="U2139" s="10" t="str">
        <f>HYPERLINK("https://pbs.twimg.com/profile_images/991752424602980352/Tbez7IZi.jpg","View")</f>
        <v>View</v>
      </c>
    </row>
    <row r="2140" spans="1:21" ht="40.799999999999997">
      <c r="A2140" s="6">
        <v>43426.645023148143</v>
      </c>
      <c r="B2140" s="7" t="str">
        <f>HYPERLINK("https://twitter.com/montesinospablo","@montesinospablo")</f>
        <v>@montesinospablo</v>
      </c>
      <c r="C2140" s="8" t="s">
        <v>7746</v>
      </c>
      <c r="D2140" s="9" t="s">
        <v>7747</v>
      </c>
      <c r="E2140" s="10" t="str">
        <f>HYPERLINK("https://twitter.com/montesinospablo/status/1065613078916722688","1065613078916722688")</f>
        <v>1065613078916722688</v>
      </c>
      <c r="F2140" s="12"/>
      <c r="G2140" s="11" t="s">
        <v>7706</v>
      </c>
      <c r="H2140" s="12"/>
      <c r="I2140" s="13">
        <v>89</v>
      </c>
      <c r="J2140" s="13">
        <v>146</v>
      </c>
      <c r="K2140" s="14" t="str">
        <f>HYPERLINK("http://twitter.com/download/iphone","Twitter for iPhone")</f>
        <v>Twitter for iPhone</v>
      </c>
      <c r="L2140" s="13">
        <v>28455</v>
      </c>
      <c r="M2140" s="13">
        <v>408</v>
      </c>
      <c r="N2140" s="13">
        <v>411</v>
      </c>
      <c r="O2140" s="15"/>
      <c r="P2140" s="6">
        <v>40724.585590277777</v>
      </c>
      <c r="Q2140" s="17" t="s">
        <v>7748</v>
      </c>
      <c r="R2140" s="18" t="s">
        <v>7749</v>
      </c>
      <c r="S2140" s="11" t="s">
        <v>7750</v>
      </c>
      <c r="T2140" s="12"/>
      <c r="U2140" s="10" t="str">
        <f>HYPERLINK("https://pbs.twimg.com/profile_images/944519137442791429/E1J9B1C_.jpg","View")</f>
        <v>View</v>
      </c>
    </row>
    <row r="2141" spans="1:21" ht="40.799999999999997">
      <c r="A2141" s="6">
        <v>43426.644965277781</v>
      </c>
      <c r="B2141" s="7" t="str">
        <f>HYPERLINK("https://twitter.com/juanortiz076","@juanortiz076")</f>
        <v>@juanortiz076</v>
      </c>
      <c r="C2141" s="8" t="s">
        <v>7751</v>
      </c>
      <c r="D2141" s="9" t="s">
        <v>7752</v>
      </c>
      <c r="E2141" s="10" t="str">
        <f>HYPERLINK("https://twitter.com/juanortiz076/status/1065613055151738881","1065613055151738881")</f>
        <v>1065613055151738881</v>
      </c>
      <c r="F2141" s="11" t="s">
        <v>7753</v>
      </c>
      <c r="G2141" s="12"/>
      <c r="H2141" s="12"/>
      <c r="I2141" s="13">
        <v>0</v>
      </c>
      <c r="J2141" s="13">
        <v>0</v>
      </c>
      <c r="K2141" s="14" t="str">
        <f>HYPERLINK("http://twitter.com","Twitter Web Client")</f>
        <v>Twitter Web Client</v>
      </c>
      <c r="L2141" s="13">
        <v>3818</v>
      </c>
      <c r="M2141" s="13">
        <v>3796</v>
      </c>
      <c r="N2141" s="13">
        <v>14</v>
      </c>
      <c r="O2141" s="15"/>
      <c r="P2141" s="6">
        <v>42159.128587962958</v>
      </c>
      <c r="Q2141" s="17" t="s">
        <v>7754</v>
      </c>
      <c r="R2141" s="18" t="s">
        <v>7755</v>
      </c>
      <c r="S2141" s="12"/>
      <c r="T2141" s="12"/>
      <c r="U2141" s="10" t="str">
        <f>HYPERLINK("https://pbs.twimg.com/profile_images/1040108619843489794/3N6Z4LBp.jpg","View")</f>
        <v>View</v>
      </c>
    </row>
    <row r="2142" spans="1:21" ht="20.399999999999999">
      <c r="A2142" s="6">
        <v>43426.644293981481</v>
      </c>
      <c r="B2142" s="7" t="str">
        <f>HYPERLINK("https://twitter.com/el13alvarito","@el13alvarito")</f>
        <v>@el13alvarito</v>
      </c>
      <c r="C2142" s="8" t="s">
        <v>7756</v>
      </c>
      <c r="D2142" s="9" t="s">
        <v>7757</v>
      </c>
      <c r="E2142" s="10" t="str">
        <f>HYPERLINK("https://twitter.com/el13alvarito/status/1065612811848560641","1065612811848560641")</f>
        <v>1065612811848560641</v>
      </c>
      <c r="F2142" s="12"/>
      <c r="G2142" s="12"/>
      <c r="H2142" s="12"/>
      <c r="I2142" s="13">
        <v>0</v>
      </c>
      <c r="J2142" s="13">
        <v>0</v>
      </c>
      <c r="K2142" s="14" t="str">
        <f t="shared" ref="K2142:K2143" si="351">HYPERLINK("http://twitter.com/download/android","Twitter for Android")</f>
        <v>Twitter for Android</v>
      </c>
      <c r="L2142" s="13">
        <v>263</v>
      </c>
      <c r="M2142" s="13">
        <v>297</v>
      </c>
      <c r="N2142" s="13">
        <v>3</v>
      </c>
      <c r="O2142" s="15"/>
      <c r="P2142" s="6">
        <v>41257.854930555557</v>
      </c>
      <c r="Q2142" s="17" t="s">
        <v>7758</v>
      </c>
      <c r="R2142" s="18" t="s">
        <v>7759</v>
      </c>
      <c r="S2142" s="12"/>
      <c r="T2142" s="12"/>
      <c r="U2142" s="10" t="str">
        <f>HYPERLINK("https://pbs.twimg.com/profile_images/1045960515665711104/M7GBvCHe.jpg","View")</f>
        <v>View</v>
      </c>
    </row>
    <row r="2143" spans="1:21" ht="40.799999999999997">
      <c r="A2143" s="6">
        <v>43426.644247685181</v>
      </c>
      <c r="B2143" s="7" t="str">
        <f>HYPERLINK("https://twitter.com/ChiringuitoRCD","@ChiringuitoRCD")</f>
        <v>@ChiringuitoRCD</v>
      </c>
      <c r="C2143" s="8" t="s">
        <v>7760</v>
      </c>
      <c r="D2143" s="9" t="s">
        <v>7761</v>
      </c>
      <c r="E2143" s="10" t="str">
        <f>HYPERLINK("https://twitter.com/ChiringuitoRCD/status/1065612795570544640","1065612795570544640")</f>
        <v>1065612795570544640</v>
      </c>
      <c r="F2143" s="12"/>
      <c r="G2143" s="11" t="s">
        <v>7762</v>
      </c>
      <c r="H2143" s="12"/>
      <c r="I2143" s="13">
        <v>0</v>
      </c>
      <c r="J2143" s="13">
        <v>0</v>
      </c>
      <c r="K2143" s="14" t="str">
        <f t="shared" si="351"/>
        <v>Twitter for Android</v>
      </c>
      <c r="L2143" s="13">
        <v>734</v>
      </c>
      <c r="M2143" s="13">
        <v>144</v>
      </c>
      <c r="N2143" s="13">
        <v>5</v>
      </c>
      <c r="O2143" s="15"/>
      <c r="P2143" s="6">
        <v>43169.670706018514</v>
      </c>
      <c r="Q2143" s="17" t="s">
        <v>7763</v>
      </c>
      <c r="R2143" s="18" t="s">
        <v>7764</v>
      </c>
      <c r="S2143" s="11" t="s">
        <v>7765</v>
      </c>
      <c r="T2143" s="12"/>
      <c r="U2143" s="10" t="str">
        <f>HYPERLINK("https://pbs.twimg.com/profile_images/996521737880850438/a7CC93_v.jpg","View")</f>
        <v>View</v>
      </c>
    </row>
    <row r="2144" spans="1:21" ht="40.799999999999997">
      <c r="A2144" s="6">
        <v>43426.644131944442</v>
      </c>
      <c r="B2144" s="7" t="str">
        <f>HYPERLINK("https://twitter.com/franciscorubira","@franciscorubira")</f>
        <v>@franciscorubira</v>
      </c>
      <c r="C2144" s="8" t="s">
        <v>7437</v>
      </c>
      <c r="D2144" s="9" t="s">
        <v>6536</v>
      </c>
      <c r="E2144" s="10" t="str">
        <f>HYPERLINK("https://twitter.com/franciscorubira/status/1065612754281590784","1065612754281590784")</f>
        <v>1065612754281590784</v>
      </c>
      <c r="F2144" s="11" t="s">
        <v>7766</v>
      </c>
      <c r="G2144" s="11" t="s">
        <v>7767</v>
      </c>
      <c r="H2144" s="12"/>
      <c r="I2144" s="13">
        <v>0</v>
      </c>
      <c r="J2144" s="13">
        <v>0</v>
      </c>
      <c r="K2144" s="14" t="str">
        <f>HYPERLINK("https://dlvrit.com/","dlvr.it")</f>
        <v>dlvr.it</v>
      </c>
      <c r="L2144" s="13">
        <v>2434</v>
      </c>
      <c r="M2144" s="13">
        <v>465</v>
      </c>
      <c r="N2144" s="13">
        <v>43</v>
      </c>
      <c r="O2144" s="15"/>
      <c r="P2144" s="6">
        <v>39871.859317129631</v>
      </c>
      <c r="Q2144" s="17" t="s">
        <v>1692</v>
      </c>
      <c r="R2144" s="18" t="s">
        <v>7440</v>
      </c>
      <c r="S2144" s="11" t="s">
        <v>7441</v>
      </c>
      <c r="T2144" s="12"/>
      <c r="U2144" s="10" t="str">
        <f>HYPERLINK("https://pbs.twimg.com/profile_images/3347587725/a033bb22fbb57ca30cfe28855cc75a4a.jpeg","View")</f>
        <v>View</v>
      </c>
    </row>
    <row r="2145" spans="1:21" ht="40.799999999999997">
      <c r="A2145" s="6">
        <v>43426.644120370373</v>
      </c>
      <c r="B2145" s="7" t="str">
        <f>HYPERLINK("https://twitter.com/DamasdBlanco","@DamasdBlanco")</f>
        <v>@DamasdBlanco</v>
      </c>
      <c r="C2145" s="8" t="s">
        <v>4197</v>
      </c>
      <c r="D2145" s="9" t="s">
        <v>5335</v>
      </c>
      <c r="E2145" s="10" t="str">
        <f>HYPERLINK("https://twitter.com/DamasdBlanco/status/1065612748992716802","1065612748992716802")</f>
        <v>1065612748992716802</v>
      </c>
      <c r="F2145" s="11" t="s">
        <v>4718</v>
      </c>
      <c r="G2145" s="12"/>
      <c r="H2145" s="12"/>
      <c r="I2145" s="13">
        <v>8</v>
      </c>
      <c r="J2145" s="13">
        <v>3</v>
      </c>
      <c r="K2145" s="14" t="str">
        <f>HYPERLINK("http://twitter.com","Twitter Web Client")</f>
        <v>Twitter Web Client</v>
      </c>
      <c r="L2145" s="13">
        <v>28165</v>
      </c>
      <c r="M2145" s="13">
        <v>3218</v>
      </c>
      <c r="N2145" s="13">
        <v>439</v>
      </c>
      <c r="O2145" s="15"/>
      <c r="P2145" s="6">
        <v>40295.827615740738</v>
      </c>
      <c r="Q2145" s="17" t="s">
        <v>4200</v>
      </c>
      <c r="R2145" s="18" t="s">
        <v>4201</v>
      </c>
      <c r="S2145" s="11" t="s">
        <v>4202</v>
      </c>
      <c r="T2145" s="12"/>
      <c r="U2145" s="10" t="str">
        <f>HYPERLINK("https://pbs.twimg.com/profile_images/1048363394942865408/L7MW1vT-.jpg","View")</f>
        <v>View</v>
      </c>
    </row>
    <row r="2146" spans="1:21" ht="20.399999999999999">
      <c r="A2146" s="6">
        <v>43426.644039351857</v>
      </c>
      <c r="B2146" s="7" t="str">
        <f>HYPERLINK("https://twitter.com/Info_jaen","@Info_jaen")</f>
        <v>@Info_jaen</v>
      </c>
      <c r="C2146" s="8" t="s">
        <v>7647</v>
      </c>
      <c r="D2146" s="9" t="s">
        <v>7768</v>
      </c>
      <c r="E2146" s="10" t="str">
        <f>HYPERLINK("https://twitter.com/Info_jaen/status/1065612721805320192","1065612721805320192")</f>
        <v>1065612721805320192</v>
      </c>
      <c r="F2146" s="11" t="s">
        <v>7769</v>
      </c>
      <c r="G2146" s="11" t="s">
        <v>7770</v>
      </c>
      <c r="H2146" s="12"/>
      <c r="I2146" s="13">
        <v>0</v>
      </c>
      <c r="J2146" s="13">
        <v>0</v>
      </c>
      <c r="K2146" s="14" t="str">
        <f>HYPERLINK("http://publicize.wp.com/","WordPress.com")</f>
        <v>WordPress.com</v>
      </c>
      <c r="L2146" s="13">
        <v>324</v>
      </c>
      <c r="M2146" s="13">
        <v>2179</v>
      </c>
      <c r="N2146" s="13">
        <v>3</v>
      </c>
      <c r="O2146" s="15"/>
      <c r="P2146" s="6">
        <v>43275.867048611108</v>
      </c>
      <c r="Q2146" s="17" t="s">
        <v>3391</v>
      </c>
      <c r="R2146" s="18" t="s">
        <v>7650</v>
      </c>
      <c r="S2146" s="11" t="s">
        <v>7651</v>
      </c>
      <c r="T2146" s="12"/>
      <c r="U2146" s="10" t="str">
        <f>HYPERLINK("https://pbs.twimg.com/profile_images/1010959335231492098/HA9tv05K.jpg","View")</f>
        <v>View</v>
      </c>
    </row>
    <row r="2147" spans="1:21" ht="51">
      <c r="A2147" s="6">
        <v>43426.643969907411</v>
      </c>
      <c r="B2147" s="7" t="str">
        <f>HYPERLINK("https://twitter.com/FelixLlerenaCUB","@FelixLlerenaCUB")</f>
        <v>@FelixLlerenaCUB</v>
      </c>
      <c r="C2147" s="8" t="s">
        <v>6808</v>
      </c>
      <c r="D2147" s="9" t="s">
        <v>7771</v>
      </c>
      <c r="E2147" s="10" t="str">
        <f>HYPERLINK("https://twitter.com/FelixLlerenaCUB/status/1065612696756854784","1065612696756854784")</f>
        <v>1065612696756854784</v>
      </c>
      <c r="F2147" s="12"/>
      <c r="G2147" s="11" t="s">
        <v>7772</v>
      </c>
      <c r="H2147" s="12"/>
      <c r="I2147" s="13">
        <v>95</v>
      </c>
      <c r="J2147" s="13">
        <v>61</v>
      </c>
      <c r="K2147" s="14" t="str">
        <f>HYPERLINK("http://twitter.com/download/android","Twitter for Android")</f>
        <v>Twitter for Android</v>
      </c>
      <c r="L2147" s="13">
        <v>9052</v>
      </c>
      <c r="M2147" s="13">
        <v>5177</v>
      </c>
      <c r="N2147" s="13">
        <v>32</v>
      </c>
      <c r="O2147" s="15"/>
      <c r="P2147" s="6">
        <v>42828.920624999999</v>
      </c>
      <c r="Q2147" s="12"/>
      <c r="R2147" s="18" t="s">
        <v>6813</v>
      </c>
      <c r="S2147" s="11" t="s">
        <v>6814</v>
      </c>
      <c r="T2147" s="12"/>
      <c r="U2147" s="10" t="str">
        <f>HYPERLINK("https://pbs.twimg.com/profile_images/1056750334264201221/3yV9C-Io.jpg","View")</f>
        <v>View</v>
      </c>
    </row>
    <row r="2148" spans="1:21" ht="51">
      <c r="A2148" s="6">
        <v>43426.643680555557</v>
      </c>
      <c r="B2148" s="7" t="str">
        <f>HYPERLINK("https://twitter.com/cristia49638871","@cristia49638871")</f>
        <v>@cristia49638871</v>
      </c>
      <c r="C2148" s="8" t="s">
        <v>4829</v>
      </c>
      <c r="D2148" s="9" t="s">
        <v>7773</v>
      </c>
      <c r="E2148" s="10" t="str">
        <f>HYPERLINK("https://twitter.com/cristia49638871/status/1065612591215665152","1065612591215665152")</f>
        <v>1065612591215665152</v>
      </c>
      <c r="F2148" s="12"/>
      <c r="G2148" s="12"/>
      <c r="H2148" s="12"/>
      <c r="I2148" s="13">
        <v>0</v>
      </c>
      <c r="J2148" s="13">
        <v>0</v>
      </c>
      <c r="K2148" s="14" t="str">
        <f>HYPERLINK("http://twitter.com","Twitter Web Client")</f>
        <v>Twitter Web Client</v>
      </c>
      <c r="L2148" s="13">
        <v>12</v>
      </c>
      <c r="M2148" s="13">
        <v>570</v>
      </c>
      <c r="N2148" s="13">
        <v>0</v>
      </c>
      <c r="O2148" s="15"/>
      <c r="P2148" s="6">
        <v>41328.625231481477</v>
      </c>
      <c r="Q2148" s="17" t="s">
        <v>2205</v>
      </c>
      <c r="R2148" s="19"/>
      <c r="S2148" s="12"/>
      <c r="T2148" s="12"/>
      <c r="U2148" s="10" t="str">
        <f>HYPERLINK("https://pbs.twimg.com/profile_images/3435873974/10d48fbeb25453f6c424ffb99516d193.png","View")</f>
        <v>View</v>
      </c>
    </row>
    <row r="2149" spans="1:21" ht="81.599999999999994">
      <c r="A2149" s="6">
        <v>43426.643564814818</v>
      </c>
      <c r="B2149" s="7" t="str">
        <f>HYPERLINK("https://twitter.com/Analvarezlvare2","@Analvarezlvare2")</f>
        <v>@Analvarezlvare2</v>
      </c>
      <c r="C2149" s="8" t="s">
        <v>3166</v>
      </c>
      <c r="D2149" s="9" t="s">
        <v>7774</v>
      </c>
      <c r="E2149" s="10" t="str">
        <f>HYPERLINK("https://twitter.com/Analvarezlvare2/status/1065612550186897410","1065612550186897410")</f>
        <v>1065612550186897410</v>
      </c>
      <c r="F2149" s="17" t="s">
        <v>7775</v>
      </c>
      <c r="G2149" s="12"/>
      <c r="H2149" s="12"/>
      <c r="I2149" s="13">
        <v>0</v>
      </c>
      <c r="J2149" s="13">
        <v>0</v>
      </c>
      <c r="K2149" s="14" t="str">
        <f>HYPERLINK("http://twitter.com/download/android","Twitter for Android")</f>
        <v>Twitter for Android</v>
      </c>
      <c r="L2149" s="13">
        <v>370</v>
      </c>
      <c r="M2149" s="13">
        <v>517</v>
      </c>
      <c r="N2149" s="13">
        <v>1</v>
      </c>
      <c r="O2149" s="15"/>
      <c r="P2149" s="6">
        <v>42820.028796296298</v>
      </c>
      <c r="Q2149" s="12"/>
      <c r="R2149" s="19"/>
      <c r="S2149" s="12"/>
      <c r="T2149" s="12"/>
      <c r="U2149" s="10" t="str">
        <f>HYPERLINK("https://pbs.twimg.com/profile_images/1054291845730234368/5AJ55mmL.jpg","View")</f>
        <v>View</v>
      </c>
    </row>
    <row r="2150" spans="1:21" ht="51">
      <c r="A2150" s="6">
        <v>43426.643379629633</v>
      </c>
      <c r="B2150" s="7" t="str">
        <f>HYPERLINK("https://twitter.com/uciudad","@uciudad")</f>
        <v>@uciudad</v>
      </c>
      <c r="C2150" s="8" t="s">
        <v>7777</v>
      </c>
      <c r="D2150" s="9" t="s">
        <v>7778</v>
      </c>
      <c r="E2150" s="10" t="str">
        <f>HYPERLINK("https://twitter.com/uciudad/status/1065612480473456640","1065612480473456640")</f>
        <v>1065612480473456640</v>
      </c>
      <c r="F2150" s="11" t="s">
        <v>7779</v>
      </c>
      <c r="G2150" s="12"/>
      <c r="H2150" s="12"/>
      <c r="I2150" s="13">
        <v>0</v>
      </c>
      <c r="J2150" s="13">
        <v>1</v>
      </c>
      <c r="K2150" s="14" t="str">
        <f>HYPERLINK("http://twitter.com","Twitter Web Client")</f>
        <v>Twitter Web Client</v>
      </c>
      <c r="L2150" s="13">
        <v>3974</v>
      </c>
      <c r="M2150" s="13">
        <v>2971</v>
      </c>
      <c r="N2150" s="13">
        <v>47</v>
      </c>
      <c r="O2150" s="15"/>
      <c r="P2150" s="6">
        <v>40751.534618055557</v>
      </c>
      <c r="Q2150" s="17" t="s">
        <v>7780</v>
      </c>
      <c r="R2150" s="18" t="s">
        <v>7781</v>
      </c>
      <c r="S2150" s="12"/>
      <c r="T2150" s="12"/>
      <c r="U2150" s="10" t="str">
        <f>HYPERLINK("https://pbs.twimg.com/profile_images/1062694025583607808/mrcyqlsW.jpg","View")</f>
        <v>View</v>
      </c>
    </row>
    <row r="2151" spans="1:21" ht="40.799999999999997">
      <c r="A2151" s="6">
        <v>43426.643078703702</v>
      </c>
      <c r="B2151" s="7" t="str">
        <f>HYPERLINK("https://twitter.com/conservdig","@conservdig")</f>
        <v>@conservdig</v>
      </c>
      <c r="C2151" s="8" t="s">
        <v>7782</v>
      </c>
      <c r="D2151" s="9" t="s">
        <v>7783</v>
      </c>
      <c r="E2151" s="10" t="str">
        <f>HYPERLINK("https://twitter.com/conservdig/status/1065612371878707200","1065612371878707200")</f>
        <v>1065612371878707200</v>
      </c>
      <c r="F2151" s="11" t="s">
        <v>7784</v>
      </c>
      <c r="G2151" s="12"/>
      <c r="H2151" s="12"/>
      <c r="I2151" s="13">
        <v>0</v>
      </c>
      <c r="J2151" s="13">
        <v>0</v>
      </c>
      <c r="K2151" s="14" t="str">
        <f>HYPERLINK("http://www.facebook.com/twitter","Facebook")</f>
        <v>Facebook</v>
      </c>
      <c r="L2151" s="13">
        <v>1838</v>
      </c>
      <c r="M2151" s="13">
        <v>1648</v>
      </c>
      <c r="N2151" s="13">
        <v>7</v>
      </c>
      <c r="O2151" s="15"/>
      <c r="P2151" s="6">
        <v>43040.882303240738</v>
      </c>
      <c r="Q2151" s="17" t="s">
        <v>28</v>
      </c>
      <c r="R2151" s="18" t="s">
        <v>7785</v>
      </c>
      <c r="S2151" s="11" t="s">
        <v>7786</v>
      </c>
      <c r="T2151" s="12"/>
      <c r="U2151" s="10" t="str">
        <f>HYPERLINK("https://pbs.twimg.com/profile_images/947163771851673601/yHdqa11X.jpg","View")</f>
        <v>View</v>
      </c>
    </row>
    <row r="2152" spans="1:21" ht="30.6">
      <c r="A2152" s="6">
        <v>43426.641932870371</v>
      </c>
      <c r="B2152" s="7" t="str">
        <f>HYPERLINK("https://twitter.com/luiserbar","@luiserbar")</f>
        <v>@luiserbar</v>
      </c>
      <c r="C2152" s="8" t="s">
        <v>7787</v>
      </c>
      <c r="D2152" s="9" t="s">
        <v>7788</v>
      </c>
      <c r="E2152" s="10" t="str">
        <f>HYPERLINK("https://twitter.com/luiserbar/status/1065611956072140800","1065611956072140800")</f>
        <v>1065611956072140800</v>
      </c>
      <c r="F2152" s="11" t="s">
        <v>7789</v>
      </c>
      <c r="G2152" s="12"/>
      <c r="H2152" s="12"/>
      <c r="I2152" s="13">
        <v>0</v>
      </c>
      <c r="J2152" s="13">
        <v>0</v>
      </c>
      <c r="K2152" s="14" t="str">
        <f t="shared" ref="K2152:K2155" si="352">HYPERLINK("http://twitter.com","Twitter Web Client")</f>
        <v>Twitter Web Client</v>
      </c>
      <c r="L2152" s="13">
        <v>2488</v>
      </c>
      <c r="M2152" s="13">
        <v>2507</v>
      </c>
      <c r="N2152" s="13">
        <v>95</v>
      </c>
      <c r="O2152" s="15"/>
      <c r="P2152" s="6">
        <v>40499.451585648145</v>
      </c>
      <c r="Q2152" s="17" t="s">
        <v>1960</v>
      </c>
      <c r="R2152" s="18" t="s">
        <v>7790</v>
      </c>
      <c r="S2152" s="11" t="s">
        <v>7791</v>
      </c>
      <c r="T2152" s="12"/>
      <c r="U2152" s="10" t="str">
        <f>HYPERLINK("https://pbs.twimg.com/profile_images/1063697619183173632/IOPTGX_B.jpg","View")</f>
        <v>View</v>
      </c>
    </row>
    <row r="2153" spans="1:21" ht="30.6">
      <c r="A2153" s="6">
        <v>43426.640370370369</v>
      </c>
      <c r="B2153" s="7" t="str">
        <f>HYPERLINK("https://twitter.com/PoderContra","@PoderContra")</f>
        <v>@PoderContra</v>
      </c>
      <c r="C2153" s="8" t="s">
        <v>570</v>
      </c>
      <c r="D2153" s="9" t="s">
        <v>571</v>
      </c>
      <c r="E2153" s="10" t="str">
        <f>HYPERLINK("https://twitter.com/PoderContra/status/1065611393490186243","1065611393490186243")</f>
        <v>1065611393490186243</v>
      </c>
      <c r="F2153" s="12"/>
      <c r="G2153" s="12"/>
      <c r="H2153" s="12"/>
      <c r="I2153" s="13">
        <v>0</v>
      </c>
      <c r="J2153" s="13">
        <v>0</v>
      </c>
      <c r="K2153" s="14" t="str">
        <f t="shared" si="352"/>
        <v>Twitter Web Client</v>
      </c>
      <c r="L2153" s="13">
        <v>1063</v>
      </c>
      <c r="M2153" s="13">
        <v>1534</v>
      </c>
      <c r="N2153" s="13">
        <v>0</v>
      </c>
      <c r="O2153" s="15"/>
      <c r="P2153" s="6">
        <v>43331.769074074073</v>
      </c>
      <c r="Q2153" s="17" t="s">
        <v>574</v>
      </c>
      <c r="R2153" s="18" t="s">
        <v>575</v>
      </c>
      <c r="S2153" s="12"/>
      <c r="T2153" s="12"/>
      <c r="U2153" s="10" t="str">
        <f>HYPERLINK("https://pbs.twimg.com/profile_images/1031217517736419329/ueWoRCcX.jpg","View")</f>
        <v>View</v>
      </c>
    </row>
    <row r="2154" spans="1:21" ht="51">
      <c r="A2154" s="6">
        <v>43426.640150462961</v>
      </c>
      <c r="B2154" s="7" t="str">
        <f>HYPERLINK("https://twitter.com/26deLasTunas","@26deLasTunas")</f>
        <v>@26deLasTunas</v>
      </c>
      <c r="C2154" s="8" t="s">
        <v>7792</v>
      </c>
      <c r="D2154" s="9" t="s">
        <v>7793</v>
      </c>
      <c r="E2154" s="10" t="str">
        <f>HYPERLINK("https://twitter.com/26deLasTunas/status/1065611310380052483","1065611310380052483")</f>
        <v>1065611310380052483</v>
      </c>
      <c r="F2154" s="11" t="s">
        <v>7794</v>
      </c>
      <c r="G2154" s="11" t="s">
        <v>7675</v>
      </c>
      <c r="H2154" s="12"/>
      <c r="I2154" s="13">
        <v>7</v>
      </c>
      <c r="J2154" s="13">
        <v>7</v>
      </c>
      <c r="K2154" s="14" t="str">
        <f t="shared" si="352"/>
        <v>Twitter Web Client</v>
      </c>
      <c r="L2154" s="13">
        <v>7688</v>
      </c>
      <c r="M2154" s="13">
        <v>1239</v>
      </c>
      <c r="N2154" s="13">
        <v>93</v>
      </c>
      <c r="O2154" s="15"/>
      <c r="P2154" s="6">
        <v>40436.776932870373</v>
      </c>
      <c r="Q2154" s="17" t="s">
        <v>7795</v>
      </c>
      <c r="R2154" s="18" t="s">
        <v>7796</v>
      </c>
      <c r="S2154" s="11" t="s">
        <v>7797</v>
      </c>
      <c r="T2154" s="12"/>
      <c r="U2154" s="10" t="str">
        <f>HYPERLINK("https://pbs.twimg.com/profile_images/378800000613992501/5615975c0394b99919d56578dca02874.jpeg","View")</f>
        <v>View</v>
      </c>
    </row>
    <row r="2155" spans="1:21" ht="71.400000000000006">
      <c r="A2155" s="6">
        <v>43426.640115740738</v>
      </c>
      <c r="B2155" s="7" t="str">
        <f>HYPERLINK("https://twitter.com/luzmarinaotaola","@luzmarinaotaola")</f>
        <v>@luzmarinaotaola</v>
      </c>
      <c r="C2155" s="8" t="s">
        <v>2731</v>
      </c>
      <c r="D2155" s="9" t="s">
        <v>7798</v>
      </c>
      <c r="E2155" s="10" t="str">
        <f>HYPERLINK("https://twitter.com/luzmarinaotaola/status/1065611299923652609","1065611299923652609")</f>
        <v>1065611299923652609</v>
      </c>
      <c r="F2155" s="17" t="s">
        <v>7799</v>
      </c>
      <c r="G2155" s="12"/>
      <c r="H2155" s="12"/>
      <c r="I2155" s="13">
        <v>0</v>
      </c>
      <c r="J2155" s="13">
        <v>1</v>
      </c>
      <c r="K2155" s="14" t="str">
        <f t="shared" si="352"/>
        <v>Twitter Web Client</v>
      </c>
      <c r="L2155" s="13">
        <v>1553</v>
      </c>
      <c r="M2155" s="13">
        <v>1814</v>
      </c>
      <c r="N2155" s="13">
        <v>12</v>
      </c>
      <c r="O2155" s="15"/>
      <c r="P2155" s="6">
        <v>40264.869097222225</v>
      </c>
      <c r="Q2155" s="17" t="s">
        <v>2733</v>
      </c>
      <c r="R2155" s="18" t="s">
        <v>2734</v>
      </c>
      <c r="S2155" s="12"/>
      <c r="T2155" s="12"/>
      <c r="U2155" s="10" t="str">
        <f>HYPERLINK("https://pbs.twimg.com/profile_images/1050911842510483456/Q-429Igk.jpg","View")</f>
        <v>View</v>
      </c>
    </row>
    <row r="2156" spans="1:21" ht="40.799999999999997">
      <c r="A2156" s="6">
        <v>43426.639398148152</v>
      </c>
      <c r="B2156" s="7" t="str">
        <f>HYPERLINK("https://twitter.com/GPPopular","@GPPopular")</f>
        <v>@GPPopular</v>
      </c>
      <c r="C2156" s="8" t="s">
        <v>6066</v>
      </c>
      <c r="D2156" s="9" t="s">
        <v>7800</v>
      </c>
      <c r="E2156" s="10" t="str">
        <f>HYPERLINK("https://twitter.com/GPPopular/status/1065611040573063169","1065611040573063169")</f>
        <v>1065611040573063169</v>
      </c>
      <c r="F2156" s="12"/>
      <c r="G2156" s="11" t="s">
        <v>7801</v>
      </c>
      <c r="H2156" s="12"/>
      <c r="I2156" s="13">
        <v>14</v>
      </c>
      <c r="J2156" s="13">
        <v>14</v>
      </c>
      <c r="K2156" s="14" t="str">
        <f>HYPERLINK("https://studio.twitter.com","Media Studio")</f>
        <v>Media Studio</v>
      </c>
      <c r="L2156" s="13">
        <v>34963</v>
      </c>
      <c r="M2156" s="13">
        <v>613</v>
      </c>
      <c r="N2156" s="13">
        <v>465</v>
      </c>
      <c r="O2156" s="16" t="s">
        <v>26</v>
      </c>
      <c r="P2156" s="6">
        <v>40247.743229166663</v>
      </c>
      <c r="Q2156" s="17" t="s">
        <v>72</v>
      </c>
      <c r="R2156" s="18" t="s">
        <v>6069</v>
      </c>
      <c r="S2156" s="11" t="s">
        <v>6070</v>
      </c>
      <c r="T2156" s="12"/>
      <c r="U2156" s="10" t="str">
        <f>HYPERLINK("https://pbs.twimg.com/profile_images/1053548288799137792/kbNU1H8T.jpg","View")</f>
        <v>View</v>
      </c>
    </row>
    <row r="2157" spans="1:21" ht="30.6">
      <c r="A2157" s="6">
        <v>43426.638391203705</v>
      </c>
      <c r="B2157" s="7" t="str">
        <f>HYPERLINK("https://twitter.com/jsobrevive","@jsobrevive")</f>
        <v>@jsobrevive</v>
      </c>
      <c r="C2157" s="8" t="s">
        <v>7802</v>
      </c>
      <c r="D2157" s="9" t="s">
        <v>7803</v>
      </c>
      <c r="E2157" s="10" t="str">
        <f>HYPERLINK("https://twitter.com/jsobrevive/status/1065610672472498177","1065610672472498177")</f>
        <v>1065610672472498177</v>
      </c>
      <c r="F2157" s="11" t="s">
        <v>5041</v>
      </c>
      <c r="G2157" s="12"/>
      <c r="H2157" s="12"/>
      <c r="I2157" s="13">
        <v>17</v>
      </c>
      <c r="J2157" s="13">
        <v>16</v>
      </c>
      <c r="K2157" s="14" t="str">
        <f>HYPERLINK("http://twitter.com/download/android","Twitter for Android")</f>
        <v>Twitter for Android</v>
      </c>
      <c r="L2157" s="13">
        <v>16673</v>
      </c>
      <c r="M2157" s="13">
        <v>15468</v>
      </c>
      <c r="N2157" s="13">
        <v>81</v>
      </c>
      <c r="O2157" s="15"/>
      <c r="P2157" s="6">
        <v>40713.045347222222</v>
      </c>
      <c r="Q2157" s="12"/>
      <c r="R2157" s="18" t="s">
        <v>7804</v>
      </c>
      <c r="S2157" s="11" t="s">
        <v>7805</v>
      </c>
      <c r="T2157" s="12"/>
      <c r="U2157" s="10" t="str">
        <f>HYPERLINK("https://pbs.twimg.com/profile_images/933633018866163712/BPmH0AzX.jpg","View")</f>
        <v>View</v>
      </c>
    </row>
    <row r="2158" spans="1:21" ht="40.799999999999997">
      <c r="A2158" s="6">
        <v>43426.638009259259</v>
      </c>
      <c r="B2158" s="7" t="str">
        <f>HYPERLINK("https://twitter.com/Pablomsanchezj","@Pablomsanchezj")</f>
        <v>@Pablomsanchezj</v>
      </c>
      <c r="C2158" s="8" t="s">
        <v>7806</v>
      </c>
      <c r="D2158" s="9" t="s">
        <v>7807</v>
      </c>
      <c r="E2158" s="10" t="str">
        <f>HYPERLINK("https://twitter.com/Pablomsanchezj/status/1065610534341488641","1065610534341488641")</f>
        <v>1065610534341488641</v>
      </c>
      <c r="F2158" s="11" t="s">
        <v>7808</v>
      </c>
      <c r="G2158" s="12"/>
      <c r="H2158" s="12"/>
      <c r="I2158" s="13">
        <v>0</v>
      </c>
      <c r="J2158" s="13">
        <v>0</v>
      </c>
      <c r="K2158" s="14" t="str">
        <f>HYPERLINK("http://www.facebook.com/twitter","Facebook")</f>
        <v>Facebook</v>
      </c>
      <c r="L2158" s="13">
        <v>1374</v>
      </c>
      <c r="M2158" s="13">
        <v>1756</v>
      </c>
      <c r="N2158" s="13">
        <v>32</v>
      </c>
      <c r="O2158" s="15"/>
      <c r="P2158" s="6">
        <v>40507.556759259256</v>
      </c>
      <c r="Q2158" s="17" t="s">
        <v>7809</v>
      </c>
      <c r="R2158" s="18" t="s">
        <v>7810</v>
      </c>
      <c r="S2158" s="12"/>
      <c r="T2158" s="12"/>
      <c r="U2158" s="10" t="str">
        <f>HYPERLINK("https://pbs.twimg.com/profile_images/1646564874/images.jpg","View")</f>
        <v>View</v>
      </c>
    </row>
    <row r="2159" spans="1:21" ht="20.399999999999999">
      <c r="A2159" s="6">
        <v>43426.637638888889</v>
      </c>
      <c r="B2159" s="7" t="str">
        <f>HYPERLINK("https://twitter.com/Mari__Casanova","@Mari__Casanova")</f>
        <v>@Mari__Casanova</v>
      </c>
      <c r="C2159" s="8" t="s">
        <v>1324</v>
      </c>
      <c r="D2159" s="9" t="s">
        <v>6381</v>
      </c>
      <c r="E2159" s="10" t="str">
        <f>HYPERLINK("https://twitter.com/Mari__Casanova/status/1065610399763046401","1065610399763046401")</f>
        <v>1065610399763046401</v>
      </c>
      <c r="F2159" s="11" t="s">
        <v>6382</v>
      </c>
      <c r="G2159" s="12"/>
      <c r="H2159" s="12"/>
      <c r="I2159" s="13">
        <v>0</v>
      </c>
      <c r="J2159" s="13">
        <v>0</v>
      </c>
      <c r="K2159" s="14" t="str">
        <f>HYPERLINK("https://ifttt.com","IFTTT")</f>
        <v>IFTTT</v>
      </c>
      <c r="L2159" s="13">
        <v>705</v>
      </c>
      <c r="M2159" s="13">
        <v>163</v>
      </c>
      <c r="N2159" s="13">
        <v>2</v>
      </c>
      <c r="O2159" s="15"/>
      <c r="P2159" s="6">
        <v>42944.109861111108</v>
      </c>
      <c r="Q2159" s="17" t="s">
        <v>1327</v>
      </c>
      <c r="R2159" s="18" t="s">
        <v>1328</v>
      </c>
      <c r="S2159" s="12"/>
      <c r="T2159" s="12"/>
      <c r="U2159" s="10" t="str">
        <f>HYPERLINK("https://pbs.twimg.com/profile_images/986637601372241920/zT1yyMnO.jpg","View")</f>
        <v>View</v>
      </c>
    </row>
    <row r="2160" spans="1:21" ht="30.6">
      <c r="A2160" s="6">
        <v>43426.637372685189</v>
      </c>
      <c r="B2160" s="7" t="str">
        <f>HYPERLINK("https://twitter.com/mcromero6","@mcromero6")</f>
        <v>@mcromero6</v>
      </c>
      <c r="C2160" s="8" t="s">
        <v>7181</v>
      </c>
      <c r="D2160" s="9" t="s">
        <v>7811</v>
      </c>
      <c r="E2160" s="10" t="str">
        <f>HYPERLINK("https://twitter.com/mcromero6/status/1065610303734509568","1065610303734509568")</f>
        <v>1065610303734509568</v>
      </c>
      <c r="F2160" s="11" t="s">
        <v>7812</v>
      </c>
      <c r="G2160" s="12"/>
      <c r="H2160" s="12"/>
      <c r="I2160" s="13">
        <v>0</v>
      </c>
      <c r="J2160" s="13">
        <v>0</v>
      </c>
      <c r="K2160" s="14" t="str">
        <f>HYPERLINK("http://twitter.com","Twitter Web Client")</f>
        <v>Twitter Web Client</v>
      </c>
      <c r="L2160" s="13">
        <v>31</v>
      </c>
      <c r="M2160" s="13">
        <v>43</v>
      </c>
      <c r="N2160" s="13">
        <v>5</v>
      </c>
      <c r="O2160" s="15"/>
      <c r="P2160" s="6">
        <v>40041.082280092596</v>
      </c>
      <c r="Q2160" s="12"/>
      <c r="R2160" s="19"/>
      <c r="S2160" s="12"/>
      <c r="T2160" s="12"/>
      <c r="U2160" s="10" t="str">
        <f>HYPERLINK("https://pbs.twimg.com/profile_images/559138991056769024/_fuw5DoR.jpeg","View")</f>
        <v>View</v>
      </c>
    </row>
    <row r="2161" spans="1:21" ht="40.799999999999997">
      <c r="A2161" s="6">
        <v>43426.637280092589</v>
      </c>
      <c r="B2161" s="7" t="str">
        <f>HYPERLINK("https://twitter.com/PabloPetrov","@PabloPetrov")</f>
        <v>@PabloPetrov</v>
      </c>
      <c r="C2161" s="8" t="s">
        <v>7813</v>
      </c>
      <c r="D2161" s="9" t="s">
        <v>7814</v>
      </c>
      <c r="E2161" s="10" t="str">
        <f>HYPERLINK("https://twitter.com/PabloPetrov/status/1065610271547379712","1065610271547379712")</f>
        <v>1065610271547379712</v>
      </c>
      <c r="F2161" s="11" t="s">
        <v>7815</v>
      </c>
      <c r="G2161" s="12"/>
      <c r="H2161" s="12"/>
      <c r="I2161" s="13">
        <v>0</v>
      </c>
      <c r="J2161" s="13">
        <v>0</v>
      </c>
      <c r="K2161" s="14" t="str">
        <f>HYPERLINK("https://curiouscat.me","Curious Cat")</f>
        <v>Curious Cat</v>
      </c>
      <c r="L2161" s="13">
        <v>309</v>
      </c>
      <c r="M2161" s="13">
        <v>263</v>
      </c>
      <c r="N2161" s="13">
        <v>7</v>
      </c>
      <c r="O2161" s="15"/>
      <c r="P2161" s="6">
        <v>41101.731574074074</v>
      </c>
      <c r="Q2161" s="17" t="s">
        <v>7816</v>
      </c>
      <c r="R2161" s="18" t="s">
        <v>7817</v>
      </c>
      <c r="S2161" s="11" t="s">
        <v>7818</v>
      </c>
      <c r="T2161" s="12"/>
      <c r="U2161" s="10" t="str">
        <f>HYPERLINK("https://pbs.twimg.com/profile_images/879269666182488064/Iqpwb-xU.jpg","View")</f>
        <v>View</v>
      </c>
    </row>
    <row r="2162" spans="1:21" ht="30.6">
      <c r="A2162" s="6">
        <v>43426.63726851852</v>
      </c>
      <c r="B2162" s="7" t="str">
        <f>HYPERLINK("https://twitter.com/ColakaSwr","@ColakaSwr")</f>
        <v>@ColakaSwr</v>
      </c>
      <c r="C2162" s="8" t="s">
        <v>7819</v>
      </c>
      <c r="D2162" s="9" t="s">
        <v>7820</v>
      </c>
      <c r="E2162" s="10" t="str">
        <f>HYPERLINK("https://twitter.com/ColakaSwr/status/1065610269429284865","1065610269429284865")</f>
        <v>1065610269429284865</v>
      </c>
      <c r="F2162" s="12"/>
      <c r="G2162" s="12"/>
      <c r="H2162" s="12"/>
      <c r="I2162" s="13">
        <v>0</v>
      </c>
      <c r="J2162" s="13">
        <v>0</v>
      </c>
      <c r="K2162" s="14" t="str">
        <f t="shared" ref="K2162:K2163" si="353">HYPERLINK("http://twitter.com/download/android","Twitter for Android")</f>
        <v>Twitter for Android</v>
      </c>
      <c r="L2162" s="13">
        <v>9</v>
      </c>
      <c r="M2162" s="13">
        <v>84</v>
      </c>
      <c r="N2162" s="13">
        <v>0</v>
      </c>
      <c r="O2162" s="15"/>
      <c r="P2162" s="6">
        <v>43085.044652777782</v>
      </c>
      <c r="Q2162" s="12"/>
      <c r="R2162" s="18" t="s">
        <v>7821</v>
      </c>
      <c r="S2162" s="11" t="s">
        <v>7822</v>
      </c>
      <c r="T2162" s="12"/>
      <c r="U2162" s="10" t="str">
        <f>HYPERLINK("https://pbs.twimg.com/profile_images/1029797811519451136/kRgF8GSo.jpg","View")</f>
        <v>View</v>
      </c>
    </row>
    <row r="2163" spans="1:21" ht="20.399999999999999">
      <c r="A2163" s="6">
        <v>43426.636446759258</v>
      </c>
      <c r="B2163" s="7" t="str">
        <f>HYPERLINK("https://twitter.com/BrabantPedro","@BrabantPedro")</f>
        <v>@BrabantPedro</v>
      </c>
      <c r="C2163" s="8" t="s">
        <v>7823</v>
      </c>
      <c r="D2163" s="9" t="s">
        <v>7824</v>
      </c>
      <c r="E2163" s="10" t="str">
        <f>HYPERLINK("https://twitter.com/BrabantPedro/status/1065609967686877184","1065609967686877184")</f>
        <v>1065609967686877184</v>
      </c>
      <c r="F2163" s="12"/>
      <c r="G2163" s="12"/>
      <c r="H2163" s="12"/>
      <c r="I2163" s="13">
        <v>0</v>
      </c>
      <c r="J2163" s="13">
        <v>0</v>
      </c>
      <c r="K2163" s="14" t="str">
        <f t="shared" si="353"/>
        <v>Twitter for Android</v>
      </c>
      <c r="L2163" s="13">
        <v>20</v>
      </c>
      <c r="M2163" s="13">
        <v>162</v>
      </c>
      <c r="N2163" s="13">
        <v>0</v>
      </c>
      <c r="O2163" s="15"/>
      <c r="P2163" s="6">
        <v>41882.808541666665</v>
      </c>
      <c r="Q2163" s="12"/>
      <c r="R2163" s="19"/>
      <c r="S2163" s="12"/>
      <c r="T2163" s="12"/>
      <c r="U2163" s="16" t="s">
        <v>373</v>
      </c>
    </row>
    <row r="2164" spans="1:21" ht="51">
      <c r="A2164" s="6">
        <v>43426.636307870373</v>
      </c>
      <c r="B2164" s="7" t="str">
        <f>HYPERLINK("https://twitter.com/paconunez_","@paconunez_")</f>
        <v>@paconunez_</v>
      </c>
      <c r="C2164" s="8" t="s">
        <v>7825</v>
      </c>
      <c r="D2164" s="9" t="s">
        <v>7826</v>
      </c>
      <c r="E2164" s="10" t="str">
        <f>HYPERLINK("https://twitter.com/paconunez_/status/1065609920001830912","1065609920001830912")</f>
        <v>1065609920001830912</v>
      </c>
      <c r="F2164" s="12"/>
      <c r="G2164" s="11" t="s">
        <v>7827</v>
      </c>
      <c r="H2164" s="12"/>
      <c r="I2164" s="13">
        <v>30</v>
      </c>
      <c r="J2164" s="13">
        <v>37</v>
      </c>
      <c r="K2164" s="14" t="str">
        <f>HYPERLINK("http://twitter.com/download/iphone","Twitter for iPhone")</f>
        <v>Twitter for iPhone</v>
      </c>
      <c r="L2164" s="13">
        <v>4273</v>
      </c>
      <c r="M2164" s="13">
        <v>3267</v>
      </c>
      <c r="N2164" s="13">
        <v>41</v>
      </c>
      <c r="O2164" s="15"/>
      <c r="P2164" s="6">
        <v>41479.555567129632</v>
      </c>
      <c r="Q2164" s="17" t="s">
        <v>7828</v>
      </c>
      <c r="R2164" s="18" t="s">
        <v>7829</v>
      </c>
      <c r="S2164" s="11" t="s">
        <v>7830</v>
      </c>
      <c r="T2164" s="12"/>
      <c r="U2164" s="10" t="str">
        <f>HYPERLINK("https://pbs.twimg.com/profile_images/1061636988007264258/vkDo5MHW.jpg","View")</f>
        <v>View</v>
      </c>
    </row>
    <row r="2165" spans="1:21" ht="40.799999999999997">
      <c r="A2165" s="6">
        <v>43426.636087962965</v>
      </c>
      <c r="B2165" s="7" t="str">
        <f>HYPERLINK("https://twitter.com/wysyq","@wysyq")</f>
        <v>@wysyq</v>
      </c>
      <c r="C2165" s="8" t="s">
        <v>7831</v>
      </c>
      <c r="D2165" s="9" t="s">
        <v>7832</v>
      </c>
      <c r="E2165" s="10" t="str">
        <f>HYPERLINK("https://twitter.com/wysyq/status/1065609837646626818","1065609837646626818")</f>
        <v>1065609837646626818</v>
      </c>
      <c r="F2165" s="12"/>
      <c r="G2165" s="11" t="s">
        <v>7833</v>
      </c>
      <c r="H2165" s="12"/>
      <c r="I2165" s="13">
        <v>1</v>
      </c>
      <c r="J2165" s="13">
        <v>0</v>
      </c>
      <c r="K2165" s="14" t="str">
        <f>HYPERLINK("http://twitter.com","Twitter Web Client")</f>
        <v>Twitter Web Client</v>
      </c>
      <c r="L2165" s="13">
        <v>349</v>
      </c>
      <c r="M2165" s="13">
        <v>843</v>
      </c>
      <c r="N2165" s="13">
        <v>53</v>
      </c>
      <c r="O2165" s="15"/>
      <c r="P2165" s="6">
        <v>42028.022106481483</v>
      </c>
      <c r="Q2165" s="17" t="s">
        <v>28</v>
      </c>
      <c r="R2165" s="18" t="s">
        <v>7834</v>
      </c>
      <c r="S2165" s="11" t="s">
        <v>7835</v>
      </c>
      <c r="T2165" s="12"/>
      <c r="U2165" s="10" t="str">
        <f>HYPERLINK("https://pbs.twimg.com/profile_images/967384658718621696/g8eUxk0O.jpg","View")</f>
        <v>View</v>
      </c>
    </row>
    <row r="2166" spans="1:21" ht="51">
      <c r="A2166" s="6">
        <v>43426.635891203703</v>
      </c>
      <c r="B2166" s="7" t="str">
        <f>HYPERLINK("https://twitter.com/anamariaoxford","@anamariaoxford")</f>
        <v>@anamariaoxford</v>
      </c>
      <c r="C2166" s="8" t="s">
        <v>7836</v>
      </c>
      <c r="D2166" s="9" t="s">
        <v>7837</v>
      </c>
      <c r="E2166" s="10" t="str">
        <f>HYPERLINK("https://twitter.com/anamariaoxford/status/1065609767295610882","1065609767295610882")</f>
        <v>1065609767295610882</v>
      </c>
      <c r="F2166" s="12"/>
      <c r="G2166" s="12"/>
      <c r="H2166" s="12"/>
      <c r="I2166" s="13">
        <v>0</v>
      </c>
      <c r="J2166" s="13">
        <v>0</v>
      </c>
      <c r="K2166" s="14" t="str">
        <f>HYPERLINK("http://twitter.com/download/iphone","Twitter for iPhone")</f>
        <v>Twitter for iPhone</v>
      </c>
      <c r="L2166" s="13">
        <v>5499</v>
      </c>
      <c r="M2166" s="13">
        <v>1378</v>
      </c>
      <c r="N2166" s="13">
        <v>68</v>
      </c>
      <c r="O2166" s="15"/>
      <c r="P2166" s="6">
        <v>39991.190497685187</v>
      </c>
      <c r="Q2166" s="12"/>
      <c r="R2166" s="18" t="s">
        <v>7838</v>
      </c>
      <c r="S2166" s="12"/>
      <c r="T2166" s="12"/>
      <c r="U2166" s="10" t="str">
        <f>HYPERLINK("https://pbs.twimg.com/profile_images/466625373195612160/whlL4N-D.jpeg","View")</f>
        <v>View</v>
      </c>
    </row>
    <row r="2167" spans="1:21" ht="30.6">
      <c r="A2167" s="6">
        <v>43426.63553240741</v>
      </c>
      <c r="B2167" s="7" t="str">
        <f>HYPERLINK("https://twitter.com/Xuxipc","@Xuxipc")</f>
        <v>@Xuxipc</v>
      </c>
      <c r="C2167" s="8" t="s">
        <v>4550</v>
      </c>
      <c r="D2167" s="9" t="s">
        <v>7839</v>
      </c>
      <c r="E2167" s="10" t="str">
        <f>HYPERLINK("https://twitter.com/Xuxipc/status/1065609639788720129","1065609639788720129")</f>
        <v>1065609639788720129</v>
      </c>
      <c r="F2167" s="12"/>
      <c r="G2167" s="12"/>
      <c r="H2167" s="12"/>
      <c r="I2167" s="13">
        <v>21</v>
      </c>
      <c r="J2167" s="13">
        <v>52</v>
      </c>
      <c r="K2167" s="14" t="str">
        <f t="shared" ref="K2167:K2168" si="354">HYPERLINK("http://twitter.com/download/android","Twitter for Android")</f>
        <v>Twitter for Android</v>
      </c>
      <c r="L2167" s="13">
        <v>182356</v>
      </c>
      <c r="M2167" s="13">
        <v>280</v>
      </c>
      <c r="N2167" s="13">
        <v>1244</v>
      </c>
      <c r="O2167" s="15"/>
      <c r="P2167" s="6">
        <v>41297.668078703704</v>
      </c>
      <c r="Q2167" s="17" t="s">
        <v>4552</v>
      </c>
      <c r="R2167" s="18" t="s">
        <v>4553</v>
      </c>
      <c r="S2167" s="11" t="s">
        <v>4554</v>
      </c>
      <c r="T2167" s="12"/>
      <c r="U2167" s="10" t="str">
        <f>HYPERLINK("https://pbs.twimg.com/profile_images/1060442492217290752/p4rkMs-Y.jpg","View")</f>
        <v>View</v>
      </c>
    </row>
    <row r="2168" spans="1:21" ht="51">
      <c r="A2168" s="6">
        <v>43426.635324074072</v>
      </c>
      <c r="B2168" s="7" t="str">
        <f>HYPERLINK("https://twitter.com/luisllzz","@luisllzz")</f>
        <v>@luisllzz</v>
      </c>
      <c r="C2168" s="8" t="s">
        <v>2082</v>
      </c>
      <c r="D2168" s="9" t="s">
        <v>7840</v>
      </c>
      <c r="E2168" s="10" t="str">
        <f>HYPERLINK("https://twitter.com/luisllzz/status/1065609562777100288","1065609562777100288")</f>
        <v>1065609562777100288</v>
      </c>
      <c r="F2168" s="17" t="s">
        <v>4636</v>
      </c>
      <c r="G2168" s="12"/>
      <c r="H2168" s="12"/>
      <c r="I2168" s="13">
        <v>0</v>
      </c>
      <c r="J2168" s="13">
        <v>0</v>
      </c>
      <c r="K2168" s="14" t="str">
        <f t="shared" si="354"/>
        <v>Twitter for Android</v>
      </c>
      <c r="L2168" s="13">
        <v>396</v>
      </c>
      <c r="M2168" s="13">
        <v>449</v>
      </c>
      <c r="N2168" s="13">
        <v>0</v>
      </c>
      <c r="O2168" s="15"/>
      <c r="P2168" s="6">
        <v>42681.407650462963</v>
      </c>
      <c r="Q2168" s="17" t="s">
        <v>28</v>
      </c>
      <c r="R2168" s="18" t="s">
        <v>2085</v>
      </c>
      <c r="S2168" s="12"/>
      <c r="T2168" s="12"/>
      <c r="U2168" s="10" t="str">
        <f>HYPERLINK("https://pbs.twimg.com/profile_images/1001772071024721920/NpV230z9.jpg","View")</f>
        <v>View</v>
      </c>
    </row>
    <row r="2169" spans="1:21" ht="20.399999999999999">
      <c r="A2169" s="6">
        <v>43426.634722222225</v>
      </c>
      <c r="B2169" s="7" t="str">
        <f>HYPERLINK("https://twitter.com/VanityFairSpain","@VanityFairSpain")</f>
        <v>@VanityFairSpain</v>
      </c>
      <c r="C2169" s="8" t="s">
        <v>1340</v>
      </c>
      <c r="D2169" s="9" t="s">
        <v>6381</v>
      </c>
      <c r="E2169" s="10" t="str">
        <f>HYPERLINK("https://twitter.com/VanityFairSpain/status/1065609343947526144","1065609343947526144")</f>
        <v>1065609343947526144</v>
      </c>
      <c r="F2169" s="11" t="s">
        <v>6382</v>
      </c>
      <c r="G2169" s="12"/>
      <c r="H2169" s="12"/>
      <c r="I2169" s="13">
        <v>2</v>
      </c>
      <c r="J2169" s="13">
        <v>3</v>
      </c>
      <c r="K2169" s="14" t="str">
        <f>HYPERLINK("https://about.twitter.com/products/tweetdeck","TweetDeck")</f>
        <v>TweetDeck</v>
      </c>
      <c r="L2169" s="13">
        <v>612527</v>
      </c>
      <c r="M2169" s="13">
        <v>502</v>
      </c>
      <c r="N2169" s="13">
        <v>2550</v>
      </c>
      <c r="O2169" s="16" t="s">
        <v>26</v>
      </c>
      <c r="P2169" s="6">
        <v>40170.488807870366</v>
      </c>
      <c r="Q2169" s="17" t="s">
        <v>436</v>
      </c>
      <c r="R2169" s="18" t="s">
        <v>1341</v>
      </c>
      <c r="S2169" s="11" t="s">
        <v>690</v>
      </c>
      <c r="T2169" s="12"/>
      <c r="U2169" s="10" t="str">
        <f>HYPERLINK("https://pbs.twimg.com/profile_images/903206869275217920/-bdg4xz-.jpg","View")</f>
        <v>View</v>
      </c>
    </row>
    <row r="2170" spans="1:21" ht="20.399999999999999">
      <c r="A2170" s="6">
        <v>43426.634432870371</v>
      </c>
      <c r="B2170" s="7" t="str">
        <f>HYPERLINK("https://twitter.com/javisanchezglez","@javisanchezglez")</f>
        <v>@javisanchezglez</v>
      </c>
      <c r="C2170" s="8" t="s">
        <v>7841</v>
      </c>
      <c r="D2170" s="9" t="s">
        <v>7842</v>
      </c>
      <c r="E2170" s="10" t="str">
        <f>HYPERLINK("https://twitter.com/javisanchezglez/status/1065609240717520896","1065609240717520896")</f>
        <v>1065609240717520896</v>
      </c>
      <c r="F2170" s="11" t="s">
        <v>7843</v>
      </c>
      <c r="G2170" s="12"/>
      <c r="H2170" s="12"/>
      <c r="I2170" s="13">
        <v>0</v>
      </c>
      <c r="J2170" s="13">
        <v>0</v>
      </c>
      <c r="K2170" s="14" t="str">
        <f>HYPERLINK("http://twitter.com/download/iphone","Twitter for iPhone")</f>
        <v>Twitter for iPhone</v>
      </c>
      <c r="L2170" s="13">
        <v>16993</v>
      </c>
      <c r="M2170" s="13">
        <v>3724</v>
      </c>
      <c r="N2170" s="13">
        <v>286</v>
      </c>
      <c r="O2170" s="15"/>
      <c r="P2170" s="6">
        <v>40896.709618055553</v>
      </c>
      <c r="Q2170" s="17" t="s">
        <v>7844</v>
      </c>
      <c r="R2170" s="18" t="s">
        <v>7845</v>
      </c>
      <c r="S2170" s="11" t="s">
        <v>7846</v>
      </c>
      <c r="T2170" s="12"/>
      <c r="U2170" s="10" t="str">
        <f>HYPERLINK("https://pbs.twimg.com/profile_images/937714360117612544/dYMBk4HU.jpg","View")</f>
        <v>View</v>
      </c>
    </row>
    <row r="2171" spans="1:21" ht="40.799999999999997">
      <c r="A2171" s="6">
        <v>43426.63417824074</v>
      </c>
      <c r="B2171" s="7" t="str">
        <f>HYPERLINK("https://twitter.com/AILSpain","@AILSpain")</f>
        <v>@AILSpain</v>
      </c>
      <c r="C2171" s="8" t="s">
        <v>2312</v>
      </c>
      <c r="D2171" s="9" t="s">
        <v>7847</v>
      </c>
      <c r="E2171" s="10" t="str">
        <f>HYPERLINK("https://twitter.com/AILSpain/status/1065609148816076801","1065609148816076801")</f>
        <v>1065609148816076801</v>
      </c>
      <c r="F2171" s="11" t="s">
        <v>607</v>
      </c>
      <c r="G2171" s="12"/>
      <c r="H2171" s="12"/>
      <c r="I2171" s="13">
        <v>0</v>
      </c>
      <c r="J2171" s="13">
        <v>0</v>
      </c>
      <c r="K2171" s="14" t="str">
        <f>HYPERLINK("http://twitter.com","Twitter Web Client")</f>
        <v>Twitter Web Client</v>
      </c>
      <c r="L2171" s="13">
        <v>798</v>
      </c>
      <c r="M2171" s="13">
        <v>766</v>
      </c>
      <c r="N2171" s="13">
        <v>15</v>
      </c>
      <c r="O2171" s="15"/>
      <c r="P2171" s="6">
        <v>40996.613634259258</v>
      </c>
      <c r="Q2171" s="17" t="s">
        <v>2315</v>
      </c>
      <c r="R2171" s="18" t="s">
        <v>2316</v>
      </c>
      <c r="S2171" s="11" t="s">
        <v>2317</v>
      </c>
      <c r="T2171" s="12"/>
      <c r="U2171" s="10" t="str">
        <f>HYPERLINK("https://pbs.twimg.com/profile_images/895600121320263680/IMs346vr.jpg","View")</f>
        <v>View</v>
      </c>
    </row>
    <row r="2172" spans="1:21" ht="20.399999999999999">
      <c r="A2172" s="6">
        <v>43426.633935185186</v>
      </c>
      <c r="B2172" s="7" t="str">
        <f>HYPERLINK("https://twitter.com/juanbaroman","@juanbaroman")</f>
        <v>@juanbaroman</v>
      </c>
      <c r="C2172" s="8" t="s">
        <v>7848</v>
      </c>
      <c r="D2172" s="9" t="s">
        <v>7849</v>
      </c>
      <c r="E2172" s="10" t="str">
        <f>HYPERLINK("https://twitter.com/juanbaroman/status/1065609058097537034","1065609058097537034")</f>
        <v>1065609058097537034</v>
      </c>
      <c r="F2172" s="12"/>
      <c r="G2172" s="12"/>
      <c r="H2172" s="12"/>
      <c r="I2172" s="13">
        <v>0</v>
      </c>
      <c r="J2172" s="13">
        <v>0</v>
      </c>
      <c r="K2172" s="14" t="str">
        <f t="shared" ref="K2172:K2173" si="355">HYPERLINK("http://twitter.com/download/iphone","Twitter for iPhone")</f>
        <v>Twitter for iPhone</v>
      </c>
      <c r="L2172" s="13">
        <v>84</v>
      </c>
      <c r="M2172" s="13">
        <v>238</v>
      </c>
      <c r="N2172" s="13">
        <v>0</v>
      </c>
      <c r="O2172" s="15"/>
      <c r="P2172" s="6">
        <v>42366.526064814811</v>
      </c>
      <c r="Q2172" s="17" t="s">
        <v>7850</v>
      </c>
      <c r="R2172" s="19"/>
      <c r="S2172" s="12"/>
      <c r="T2172" s="12"/>
      <c r="U2172" s="10" t="str">
        <f>HYPERLINK("https://pbs.twimg.com/profile_images/1038919975405342720/xhDJ_1WE.jpg","View")</f>
        <v>View</v>
      </c>
    </row>
    <row r="2173" spans="1:21" ht="71.400000000000006">
      <c r="A2173" s="6">
        <v>43426.63386574074</v>
      </c>
      <c r="B2173" s="7" t="str">
        <f>HYPERLINK("https://twitter.com/Gonzalo_Mur","@Gonzalo_Mur")</f>
        <v>@Gonzalo_Mur</v>
      </c>
      <c r="C2173" s="8" t="s">
        <v>7851</v>
      </c>
      <c r="D2173" s="9" t="s">
        <v>7852</v>
      </c>
      <c r="E2173" s="10" t="str">
        <f>HYPERLINK("https://twitter.com/Gonzalo_Mur/status/1065609035725094912","1065609035725094912")</f>
        <v>1065609035725094912</v>
      </c>
      <c r="F2173" s="17" t="s">
        <v>7853</v>
      </c>
      <c r="G2173" s="12"/>
      <c r="H2173" s="12"/>
      <c r="I2173" s="13">
        <v>0</v>
      </c>
      <c r="J2173" s="13">
        <v>0</v>
      </c>
      <c r="K2173" s="14" t="str">
        <f t="shared" si="355"/>
        <v>Twitter for iPhone</v>
      </c>
      <c r="L2173" s="13">
        <v>27</v>
      </c>
      <c r="M2173" s="13">
        <v>57</v>
      </c>
      <c r="N2173" s="13">
        <v>2</v>
      </c>
      <c r="O2173" s="15"/>
      <c r="P2173" s="6">
        <v>40213.806203703702</v>
      </c>
      <c r="Q2173" s="17" t="s">
        <v>6227</v>
      </c>
      <c r="R2173" s="18" t="s">
        <v>7854</v>
      </c>
      <c r="S2173" s="12"/>
      <c r="T2173" s="12"/>
      <c r="U2173" s="10" t="str">
        <f>HYPERLINK("https://pbs.twimg.com/profile_images/2682952561/12f906941c281617883c416f0c7becfd.jpeg","View")</f>
        <v>View</v>
      </c>
    </row>
    <row r="2174" spans="1:21" ht="40.799999999999997">
      <c r="A2174" s="6">
        <v>43426.63381944444</v>
      </c>
      <c r="B2174" s="7" t="str">
        <f>HYPERLINK("https://twitter.com/FcoCP96","@FcoCP96")</f>
        <v>@FcoCP96</v>
      </c>
      <c r="C2174" s="8" t="s">
        <v>1208</v>
      </c>
      <c r="D2174" s="9" t="s">
        <v>7855</v>
      </c>
      <c r="E2174" s="10" t="str">
        <f>HYPERLINK("https://twitter.com/FcoCP96/status/1065609018750705664","1065609018750705664")</f>
        <v>1065609018750705664</v>
      </c>
      <c r="F2174" s="11" t="s">
        <v>607</v>
      </c>
      <c r="G2174" s="12"/>
      <c r="H2174" s="12"/>
      <c r="I2174" s="13">
        <v>0</v>
      </c>
      <c r="J2174" s="13">
        <v>3</v>
      </c>
      <c r="K2174" s="14" t="str">
        <f>HYPERLINK("http://twitter.com/download/android","Twitter for Android")</f>
        <v>Twitter for Android</v>
      </c>
      <c r="L2174" s="13">
        <v>1330</v>
      </c>
      <c r="M2174" s="13">
        <v>1219</v>
      </c>
      <c r="N2174" s="13">
        <v>18</v>
      </c>
      <c r="O2174" s="15"/>
      <c r="P2174" s="6">
        <v>41118.667488425926</v>
      </c>
      <c r="Q2174" s="17" t="s">
        <v>28</v>
      </c>
      <c r="R2174" s="18" t="s">
        <v>1211</v>
      </c>
      <c r="S2174" s="11" t="s">
        <v>1212</v>
      </c>
      <c r="T2174" s="12"/>
      <c r="U2174" s="10" t="str">
        <f>HYPERLINK("https://pbs.twimg.com/profile_images/1028983085998792704/b7-zq1X9.jpg","View")</f>
        <v>View</v>
      </c>
    </row>
    <row r="2175" spans="1:21" ht="30.6">
      <c r="A2175" s="6">
        <v>43426.633391203708</v>
      </c>
      <c r="B2175" s="7" t="str">
        <f>HYPERLINK("https://twitter.com/telediario_tve","@telediario_tve")</f>
        <v>@telediario_tve</v>
      </c>
      <c r="C2175" s="8" t="s">
        <v>6090</v>
      </c>
      <c r="D2175" s="9" t="s">
        <v>7856</v>
      </c>
      <c r="E2175" s="10" t="str">
        <f>HYPERLINK("https://twitter.com/telediario_tve/status/1065608862177218560","1065608862177218560")</f>
        <v>1065608862177218560</v>
      </c>
      <c r="F2175" s="12"/>
      <c r="G2175" s="11" t="s">
        <v>7857</v>
      </c>
      <c r="H2175" s="12"/>
      <c r="I2175" s="13">
        <v>3</v>
      </c>
      <c r="J2175" s="13">
        <v>1</v>
      </c>
      <c r="K2175" s="14" t="str">
        <f>HYPERLINK("http://snappytv.com","SnappyTV.com")</f>
        <v>SnappyTV.com</v>
      </c>
      <c r="L2175" s="13">
        <v>185795</v>
      </c>
      <c r="M2175" s="13">
        <v>149</v>
      </c>
      <c r="N2175" s="13">
        <v>1856</v>
      </c>
      <c r="O2175" s="16" t="s">
        <v>26</v>
      </c>
      <c r="P2175" s="6">
        <v>40043.563726851848</v>
      </c>
      <c r="Q2175" s="12"/>
      <c r="R2175" s="18" t="s">
        <v>6093</v>
      </c>
      <c r="S2175" s="11" t="s">
        <v>6094</v>
      </c>
      <c r="T2175" s="12"/>
      <c r="U2175" s="10" t="str">
        <f>HYPERLINK("https://pbs.twimg.com/profile_images/1053256299583102977/0Skm2z_t.jpg","View")</f>
        <v>View</v>
      </c>
    </row>
    <row r="2176" spans="1:21" ht="30.6">
      <c r="A2176" s="6">
        <v>43426.633240740739</v>
      </c>
      <c r="B2176" s="7" t="str">
        <f>HYPERLINK("https://twitter.com/500DaysOfNerea","@500DaysOfNerea")</f>
        <v>@500DaysOfNerea</v>
      </c>
      <c r="C2176" s="8" t="s">
        <v>7858</v>
      </c>
      <c r="D2176" s="9" t="s">
        <v>7859</v>
      </c>
      <c r="E2176" s="10" t="str">
        <f>HYPERLINK("https://twitter.com/500DaysOfNerea/status/1065608807873748992","1065608807873748992")</f>
        <v>1065608807873748992</v>
      </c>
      <c r="F2176" s="12"/>
      <c r="G2176" s="12"/>
      <c r="H2176" s="12"/>
      <c r="I2176" s="13">
        <v>0</v>
      </c>
      <c r="J2176" s="13">
        <v>2</v>
      </c>
      <c r="K2176" s="14" t="str">
        <f>HYPERLINK("http://twitter.com/download/android","Twitter for Android")</f>
        <v>Twitter for Android</v>
      </c>
      <c r="L2176" s="13">
        <v>2276</v>
      </c>
      <c r="M2176" s="13">
        <v>851</v>
      </c>
      <c r="N2176" s="13">
        <v>39</v>
      </c>
      <c r="O2176" s="15"/>
      <c r="P2176" s="6">
        <v>40360.675752314812</v>
      </c>
      <c r="Q2176" s="17" t="s">
        <v>7860</v>
      </c>
      <c r="R2176" s="18" t="s">
        <v>7861</v>
      </c>
      <c r="S2176" s="11" t="s">
        <v>7862</v>
      </c>
      <c r="T2176" s="12"/>
      <c r="U2176" s="10" t="str">
        <f>HYPERLINK("https://pbs.twimg.com/profile_images/967827998367014912/xQnVFRHQ.jpg","View")</f>
        <v>View</v>
      </c>
    </row>
    <row r="2177" spans="1:21" ht="40.799999999999997">
      <c r="A2177" s="6">
        <v>43426.63282407407</v>
      </c>
      <c r="B2177" s="7" t="str">
        <f>HYPERLINK("https://twitter.com/juanca_sev","@juanca_sev")</f>
        <v>@juanca_sev</v>
      </c>
      <c r="C2177" s="8" t="s">
        <v>7863</v>
      </c>
      <c r="D2177" s="9" t="s">
        <v>7864</v>
      </c>
      <c r="E2177" s="10" t="str">
        <f>HYPERLINK("https://twitter.com/juanca_sev/status/1065608658208387074","1065608658208387074")</f>
        <v>1065608658208387074</v>
      </c>
      <c r="F2177" s="12"/>
      <c r="G2177" s="12"/>
      <c r="H2177" s="12"/>
      <c r="I2177" s="13">
        <v>0</v>
      </c>
      <c r="J2177" s="13">
        <v>2</v>
      </c>
      <c r="K2177" s="14" t="str">
        <f>HYPERLINK("http://twitter.com","Twitter Web Client")</f>
        <v>Twitter Web Client</v>
      </c>
      <c r="L2177" s="13">
        <v>2436</v>
      </c>
      <c r="M2177" s="13">
        <v>1000</v>
      </c>
      <c r="N2177" s="13">
        <v>69</v>
      </c>
      <c r="O2177" s="15"/>
      <c r="P2177" s="6">
        <v>40062.090787037036</v>
      </c>
      <c r="Q2177" s="17" t="s">
        <v>7865</v>
      </c>
      <c r="R2177" s="18" t="s">
        <v>7866</v>
      </c>
      <c r="S2177" s="11" t="s">
        <v>7867</v>
      </c>
      <c r="T2177" s="12"/>
      <c r="U2177" s="10" t="str">
        <f>HYPERLINK("https://pbs.twimg.com/profile_images/1063086451917762560/B8nClP5Y.jpg","View")</f>
        <v>View</v>
      </c>
    </row>
    <row r="2178" spans="1:21" ht="30.6">
      <c r="A2178" s="6">
        <v>43426.632372685184</v>
      </c>
      <c r="B2178" s="7" t="str">
        <f>HYPERLINK("https://twitter.com/OtrovagomasREAL","@OtrovagomasREAL")</f>
        <v>@OtrovagomasREAL</v>
      </c>
      <c r="C2178" s="8" t="s">
        <v>3751</v>
      </c>
      <c r="D2178" s="9" t="s">
        <v>7868</v>
      </c>
      <c r="E2178" s="10" t="str">
        <f>HYPERLINK("https://twitter.com/OtrovagomasREAL/status/1065608491656720384","1065608491656720384")</f>
        <v>1065608491656720384</v>
      </c>
      <c r="F2178" s="12"/>
      <c r="G2178" s="12"/>
      <c r="H2178" s="12"/>
      <c r="I2178" s="13">
        <v>64</v>
      </c>
      <c r="J2178" s="13">
        <v>61</v>
      </c>
      <c r="K2178" s="14" t="str">
        <f>HYPERLINK("http://twitter.com/download/iphone","Twitter for iPhone")</f>
        <v>Twitter for iPhone</v>
      </c>
      <c r="L2178" s="13">
        <v>71017</v>
      </c>
      <c r="M2178" s="13">
        <v>8393</v>
      </c>
      <c r="N2178" s="13">
        <v>484</v>
      </c>
      <c r="O2178" s="15"/>
      <c r="P2178" s="6">
        <v>40613.549386574072</v>
      </c>
      <c r="Q2178" s="11" t="s">
        <v>3753</v>
      </c>
      <c r="R2178" s="19"/>
      <c r="S2178" s="11" t="s">
        <v>3754</v>
      </c>
      <c r="T2178" s="12"/>
      <c r="U2178" s="10" t="str">
        <f>HYPERLINK("https://pbs.twimg.com/profile_images/1063152816049528832/hg9Nn2QC.jpg","View")</f>
        <v>View</v>
      </c>
    </row>
    <row r="2179" spans="1:21" ht="20.399999999999999">
      <c r="A2179" s="6">
        <v>43426.632071759261</v>
      </c>
      <c r="B2179" s="7" t="str">
        <f>HYPERLINK("https://twitter.com/Cubanoselmundo","@Cubanoselmundo")</f>
        <v>@Cubanoselmundo</v>
      </c>
      <c r="C2179" s="8" t="s">
        <v>1897</v>
      </c>
      <c r="D2179" s="9" t="s">
        <v>7869</v>
      </c>
      <c r="E2179" s="10" t="str">
        <f>HYPERLINK("https://twitter.com/Cubanoselmundo/status/1065608383066198016","1065608383066198016")</f>
        <v>1065608383066198016</v>
      </c>
      <c r="F2179" s="11" t="s">
        <v>7870</v>
      </c>
      <c r="G2179" s="12"/>
      <c r="H2179" s="12"/>
      <c r="I2179" s="13">
        <v>0</v>
      </c>
      <c r="J2179" s="13">
        <v>0</v>
      </c>
      <c r="K2179" s="14" t="str">
        <f>HYPERLINK("https://www.google.com/","Google")</f>
        <v>Google</v>
      </c>
      <c r="L2179" s="13">
        <v>35883</v>
      </c>
      <c r="M2179" s="13">
        <v>39452</v>
      </c>
      <c r="N2179" s="13">
        <v>199</v>
      </c>
      <c r="O2179" s="15"/>
      <c r="P2179" s="6">
        <v>40061.922453703708</v>
      </c>
      <c r="Q2179" s="17" t="s">
        <v>1282</v>
      </c>
      <c r="R2179" s="18" t="s">
        <v>1900</v>
      </c>
      <c r="S2179" s="11" t="s">
        <v>1901</v>
      </c>
      <c r="T2179" s="12"/>
      <c r="U2179" s="10" t="str">
        <f>HYPERLINK("https://pbs.twimg.com/profile_images/660998381670502400/HBObLaHg.jpg","View")</f>
        <v>View</v>
      </c>
    </row>
    <row r="2180" spans="1:21" ht="40.799999999999997">
      <c r="A2180" s="6">
        <v>43426.631724537037</v>
      </c>
      <c r="B2180" s="7" t="str">
        <f>HYPERLINK("https://twitter.com/aalcant","@aalcant")</f>
        <v>@aalcant</v>
      </c>
      <c r="C2180" s="8" t="s">
        <v>7871</v>
      </c>
      <c r="D2180" s="9" t="s">
        <v>7872</v>
      </c>
      <c r="E2180" s="10" t="str">
        <f>HYPERLINK("https://twitter.com/aalcant/status/1065608258256281601","1065608258256281601")</f>
        <v>1065608258256281601</v>
      </c>
      <c r="F2180" s="12"/>
      <c r="G2180" s="11" t="s">
        <v>7873</v>
      </c>
      <c r="H2180" s="12"/>
      <c r="I2180" s="13">
        <v>2</v>
      </c>
      <c r="J2180" s="13">
        <v>2</v>
      </c>
      <c r="K2180" s="14" t="str">
        <f>HYPERLINK("http://twitter.com/#!/download/ipad","Twitter for iPad")</f>
        <v>Twitter for iPad</v>
      </c>
      <c r="L2180" s="13">
        <v>1215</v>
      </c>
      <c r="M2180" s="13">
        <v>1084</v>
      </c>
      <c r="N2180" s="13">
        <v>13</v>
      </c>
      <c r="O2180" s="15"/>
      <c r="P2180" s="6">
        <v>40628.742569444446</v>
      </c>
      <c r="Q2180" s="17" t="s">
        <v>72</v>
      </c>
      <c r="R2180" s="18" t="s">
        <v>7874</v>
      </c>
      <c r="S2180" s="12"/>
      <c r="T2180" s="12"/>
      <c r="U2180" s="10" t="str">
        <f>HYPERLINK("https://pbs.twimg.com/profile_images/1029091279429357570/sSk4T2Mx.jpg","View")</f>
        <v>View</v>
      </c>
    </row>
    <row r="2181" spans="1:21" ht="40.799999999999997">
      <c r="A2181" s="6">
        <v>43426.63144675926</v>
      </c>
      <c r="B2181" s="7" t="str">
        <f>HYPERLINK("https://twitter.com/huasa1","@huasa1")</f>
        <v>@huasa1</v>
      </c>
      <c r="C2181" s="8" t="s">
        <v>7875</v>
      </c>
      <c r="D2181" s="9" t="s">
        <v>7876</v>
      </c>
      <c r="E2181" s="10" t="str">
        <f>HYPERLINK("https://twitter.com/huasa1/status/1065608157580398593","1065608157580398593")</f>
        <v>1065608157580398593</v>
      </c>
      <c r="F2181" s="12"/>
      <c r="G2181" s="12"/>
      <c r="H2181" s="12"/>
      <c r="I2181" s="13">
        <v>11</v>
      </c>
      <c r="J2181" s="13">
        <v>9</v>
      </c>
      <c r="K2181" s="14" t="str">
        <f>HYPERLINK("http://twitter.com/download/iphone","Twitter for iPhone")</f>
        <v>Twitter for iPhone</v>
      </c>
      <c r="L2181" s="13">
        <v>5111</v>
      </c>
      <c r="M2181" s="13">
        <v>306</v>
      </c>
      <c r="N2181" s="13">
        <v>32</v>
      </c>
      <c r="O2181" s="15"/>
      <c r="P2181" s="6">
        <v>40890.769583333335</v>
      </c>
      <c r="Q2181" s="17" t="s">
        <v>565</v>
      </c>
      <c r="R2181" s="18" t="s">
        <v>7877</v>
      </c>
      <c r="S2181" s="12"/>
      <c r="T2181" s="12"/>
      <c r="U2181" s="10" t="str">
        <f>HYPERLINK("https://pbs.twimg.com/profile_images/1056723088585515009/l8mZGt_A.jpg","View")</f>
        <v>View</v>
      </c>
    </row>
    <row r="2182" spans="1:21" ht="51">
      <c r="A2182" s="6">
        <v>43426.63108796296</v>
      </c>
      <c r="B2182" s="7" t="str">
        <f>HYPERLINK("https://twitter.com/Mario99pp","@Mario99pp")</f>
        <v>@Mario99pp</v>
      </c>
      <c r="C2182" s="8" t="s">
        <v>7878</v>
      </c>
      <c r="D2182" s="9" t="s">
        <v>7879</v>
      </c>
      <c r="E2182" s="10" t="str">
        <f>HYPERLINK("https://twitter.com/Mario99pp/status/1065608026445488128","1065608026445488128")</f>
        <v>1065608026445488128</v>
      </c>
      <c r="F2182" s="11" t="s">
        <v>7880</v>
      </c>
      <c r="G2182" s="12"/>
      <c r="H2182" s="12"/>
      <c r="I2182" s="13">
        <v>1</v>
      </c>
      <c r="J2182" s="13">
        <v>0</v>
      </c>
      <c r="K2182" s="14" t="str">
        <f>HYPERLINK("http://twitter.com/download/android","Twitter for Android")</f>
        <v>Twitter for Android</v>
      </c>
      <c r="L2182" s="13">
        <v>760</v>
      </c>
      <c r="M2182" s="13">
        <v>773</v>
      </c>
      <c r="N2182" s="13">
        <v>6</v>
      </c>
      <c r="O2182" s="15"/>
      <c r="P2182" s="6">
        <v>42016.018773148149</v>
      </c>
      <c r="Q2182" s="17" t="s">
        <v>7881</v>
      </c>
      <c r="R2182" s="18" t="s">
        <v>7882</v>
      </c>
      <c r="S2182" s="12"/>
      <c r="T2182" s="12"/>
      <c r="U2182" s="10" t="str">
        <f>HYPERLINK("https://pbs.twimg.com/profile_images/1017096989627084801/Foj7jnUB.jpg","View")</f>
        <v>View</v>
      </c>
    </row>
    <row r="2183" spans="1:21" ht="40.799999999999997">
      <c r="A2183" s="6">
        <v>43426.630798611106</v>
      </c>
      <c r="B2183" s="7" t="str">
        <f>HYPERLINK("https://twitter.com/telediario_tve","@telediario_tve")</f>
        <v>@telediario_tve</v>
      </c>
      <c r="C2183" s="8" t="s">
        <v>6090</v>
      </c>
      <c r="D2183" s="9" t="s">
        <v>7883</v>
      </c>
      <c r="E2183" s="10" t="str">
        <f>HYPERLINK("https://twitter.com/telediario_tve/status/1065607922359525376","1065607922359525376")</f>
        <v>1065607922359525376</v>
      </c>
      <c r="F2183" s="12"/>
      <c r="G2183" s="11" t="s">
        <v>7884</v>
      </c>
      <c r="H2183" s="12"/>
      <c r="I2183" s="13">
        <v>5</v>
      </c>
      <c r="J2183" s="13">
        <v>2</v>
      </c>
      <c r="K2183" s="14" t="str">
        <f>HYPERLINK("http://snappytv.com","SnappyTV.com")</f>
        <v>SnappyTV.com</v>
      </c>
      <c r="L2183" s="13">
        <v>185795</v>
      </c>
      <c r="M2183" s="13">
        <v>149</v>
      </c>
      <c r="N2183" s="13">
        <v>1856</v>
      </c>
      <c r="O2183" s="16" t="s">
        <v>26</v>
      </c>
      <c r="P2183" s="6">
        <v>40043.563726851848</v>
      </c>
      <c r="Q2183" s="12"/>
      <c r="R2183" s="18" t="s">
        <v>6093</v>
      </c>
      <c r="S2183" s="11" t="s">
        <v>6094</v>
      </c>
      <c r="T2183" s="12"/>
      <c r="U2183" s="10" t="str">
        <f>HYPERLINK("https://pbs.twimg.com/profile_images/1053256299583102977/0Skm2z_t.jpg","View")</f>
        <v>View</v>
      </c>
    </row>
    <row r="2184" spans="1:21" ht="71.400000000000006">
      <c r="A2184" s="6">
        <v>43426.629328703704</v>
      </c>
      <c r="B2184" s="7" t="str">
        <f>HYPERLINK("https://twitter.com/dexamina","@dexamina")</f>
        <v>@dexamina</v>
      </c>
      <c r="C2184" s="8" t="s">
        <v>7885</v>
      </c>
      <c r="D2184" s="9" t="s">
        <v>7886</v>
      </c>
      <c r="E2184" s="10" t="str">
        <f>HYPERLINK("https://twitter.com/dexamina/status/1065607389943087104","1065607389943087104")</f>
        <v>1065607389943087104</v>
      </c>
      <c r="F2184" s="11" t="s">
        <v>7887</v>
      </c>
      <c r="G2184" s="12"/>
      <c r="H2184" s="12"/>
      <c r="I2184" s="13">
        <v>19</v>
      </c>
      <c r="J2184" s="13">
        <v>52</v>
      </c>
      <c r="K2184" s="14" t="str">
        <f t="shared" ref="K2184:K2186" si="356">HYPERLINK("http://twitter.com/download/android","Twitter for Android")</f>
        <v>Twitter for Android</v>
      </c>
      <c r="L2184" s="13">
        <v>20347</v>
      </c>
      <c r="M2184" s="13">
        <v>442</v>
      </c>
      <c r="N2184" s="13">
        <v>66</v>
      </c>
      <c r="O2184" s="15"/>
      <c r="P2184" s="6">
        <v>43337.713888888888</v>
      </c>
      <c r="Q2184" s="17" t="s">
        <v>7888</v>
      </c>
      <c r="R2184" s="18" t="s">
        <v>7889</v>
      </c>
      <c r="S2184" s="12"/>
      <c r="T2184" s="12"/>
      <c r="U2184" s="10" t="str">
        <f>HYPERLINK("https://pbs.twimg.com/profile_images/1033372963612110850/r1cCsz00.jpg","View")</f>
        <v>View</v>
      </c>
    </row>
    <row r="2185" spans="1:21" ht="30.6">
      <c r="A2185" s="6">
        <v>43426.628888888888</v>
      </c>
      <c r="B2185" s="7" t="str">
        <f>HYPERLINK("https://twitter.com/Daeliz","@Daeliz")</f>
        <v>@Daeliz</v>
      </c>
      <c r="C2185" s="8" t="s">
        <v>7890</v>
      </c>
      <c r="D2185" s="9" t="s">
        <v>7891</v>
      </c>
      <c r="E2185" s="10" t="str">
        <f>HYPERLINK("https://twitter.com/Daeliz/status/1065607228709920768","1065607228709920768")</f>
        <v>1065607228709920768</v>
      </c>
      <c r="F2185" s="12"/>
      <c r="G2185" s="12"/>
      <c r="H2185" s="12"/>
      <c r="I2185" s="13">
        <v>0</v>
      </c>
      <c r="J2185" s="13">
        <v>0</v>
      </c>
      <c r="K2185" s="14" t="str">
        <f t="shared" si="356"/>
        <v>Twitter for Android</v>
      </c>
      <c r="L2185" s="13">
        <v>1074</v>
      </c>
      <c r="M2185" s="13">
        <v>335</v>
      </c>
      <c r="N2185" s="13">
        <v>32</v>
      </c>
      <c r="O2185" s="15"/>
      <c r="P2185" s="6">
        <v>39951.212013888886</v>
      </c>
      <c r="Q2185" s="17" t="s">
        <v>2053</v>
      </c>
      <c r="R2185" s="18" t="s">
        <v>7892</v>
      </c>
      <c r="S2185" s="12"/>
      <c r="T2185" s="12"/>
      <c r="U2185" s="10" t="str">
        <f>HYPERLINK("https://pbs.twimg.com/profile_images/1011938159167463424/-5WU25Cj.jpg","View")</f>
        <v>View</v>
      </c>
    </row>
    <row r="2186" spans="1:21" ht="30.6">
      <c r="A2186" s="6">
        <v>43426.627500000002</v>
      </c>
      <c r="B2186" s="7" t="str">
        <f>HYPERLINK("https://twitter.com/JesusRomeroLeon","@JesusRomeroLeon")</f>
        <v>@JesusRomeroLeon</v>
      </c>
      <c r="C2186" s="8" t="s">
        <v>203</v>
      </c>
      <c r="D2186" s="9" t="s">
        <v>7527</v>
      </c>
      <c r="E2186" s="10" t="str">
        <f>HYPERLINK("https://twitter.com/JesusRomeroLeon/status/1065606728270716931","1065606728270716931")</f>
        <v>1065606728270716931</v>
      </c>
      <c r="F2186" s="11" t="s">
        <v>641</v>
      </c>
      <c r="G2186" s="12"/>
      <c r="H2186" s="12"/>
      <c r="I2186" s="13">
        <v>0</v>
      </c>
      <c r="J2186" s="13">
        <v>0</v>
      </c>
      <c r="K2186" s="14" t="str">
        <f t="shared" si="356"/>
        <v>Twitter for Android</v>
      </c>
      <c r="L2186" s="13">
        <v>888</v>
      </c>
      <c r="M2186" s="13">
        <v>908</v>
      </c>
      <c r="N2186" s="13">
        <v>56</v>
      </c>
      <c r="O2186" s="15"/>
      <c r="P2186" s="6">
        <v>40074.800462962965</v>
      </c>
      <c r="Q2186" s="17" t="s">
        <v>210</v>
      </c>
      <c r="R2186" s="18" t="s">
        <v>211</v>
      </c>
      <c r="S2186" s="12"/>
      <c r="T2186" s="12"/>
      <c r="U2186" s="10" t="str">
        <f>HYPERLINK("https://pbs.twimg.com/profile_images/1048511285464387584/35I-j85n.jpg","View")</f>
        <v>View</v>
      </c>
    </row>
    <row r="2187" spans="1:21" ht="20.399999999999999">
      <c r="A2187" s="6">
        <v>43426.626747685186</v>
      </c>
      <c r="B2187" s="7" t="str">
        <f>HYPERLINK("https://twitter.com/CaraotaDigital","@CaraotaDigital")</f>
        <v>@CaraotaDigital</v>
      </c>
      <c r="C2187" s="8" t="s">
        <v>445</v>
      </c>
      <c r="D2187" s="9" t="s">
        <v>446</v>
      </c>
      <c r="E2187" s="10" t="str">
        <f>HYPERLINK("https://twitter.com/CaraotaDigital/status/1065606456362323969","1065606456362323969")</f>
        <v>1065606456362323969</v>
      </c>
      <c r="F2187" s="11" t="s">
        <v>447</v>
      </c>
      <c r="G2187" s="12"/>
      <c r="H2187" s="12"/>
      <c r="I2187" s="13">
        <v>0</v>
      </c>
      <c r="J2187" s="13">
        <v>0</v>
      </c>
      <c r="K2187" s="14" t="str">
        <f>HYPERLINK("https://about.twitter.com/products/tweetdeck","TweetDeck")</f>
        <v>TweetDeck</v>
      </c>
      <c r="L2187" s="13">
        <v>1115993</v>
      </c>
      <c r="M2187" s="13">
        <v>409</v>
      </c>
      <c r="N2187" s="13">
        <v>2984</v>
      </c>
      <c r="O2187" s="16" t="s">
        <v>26</v>
      </c>
      <c r="P2187" s="6">
        <v>40386.147511574076</v>
      </c>
      <c r="Q2187" s="17" t="s">
        <v>448</v>
      </c>
      <c r="R2187" s="18" t="s">
        <v>449</v>
      </c>
      <c r="S2187" s="11" t="s">
        <v>451</v>
      </c>
      <c r="T2187" s="12"/>
      <c r="U2187" s="10" t="str">
        <f>HYPERLINK("https://pbs.twimg.com/profile_images/1046543482054217729/GUKGkwV4.jpg","View")</f>
        <v>View</v>
      </c>
    </row>
    <row r="2188" spans="1:21" ht="30.6">
      <c r="A2188" s="6">
        <v>43426.625520833331</v>
      </c>
      <c r="B2188" s="7" t="str">
        <f>HYPERLINK("https://twitter.com/ElAngelFacha","@ElAngelFacha")</f>
        <v>@ElAngelFacha</v>
      </c>
      <c r="C2188" s="8" t="s">
        <v>1243</v>
      </c>
      <c r="D2188" s="9" t="s">
        <v>7893</v>
      </c>
      <c r="E2188" s="10" t="str">
        <f>HYPERLINK("https://twitter.com/ElAngelFacha/status/1065606009794830336","1065606009794830336")</f>
        <v>1065606009794830336</v>
      </c>
      <c r="F2188" s="11" t="s">
        <v>7894</v>
      </c>
      <c r="G2188" s="12"/>
      <c r="H2188" s="12"/>
      <c r="I2188" s="13">
        <v>18</v>
      </c>
      <c r="J2188" s="13">
        <v>18</v>
      </c>
      <c r="K2188" s="14" t="str">
        <f>HYPERLINK("http://twitter.com","Twitter Web Client")</f>
        <v>Twitter Web Client</v>
      </c>
      <c r="L2188" s="13">
        <v>1109</v>
      </c>
      <c r="M2188" s="13">
        <v>1522</v>
      </c>
      <c r="N2188" s="13">
        <v>1</v>
      </c>
      <c r="O2188" s="15"/>
      <c r="P2188" s="6">
        <v>42923.928784722222</v>
      </c>
      <c r="Q2188" s="17" t="s">
        <v>1246</v>
      </c>
      <c r="R2188" s="18" t="s">
        <v>1247</v>
      </c>
      <c r="S2188" s="12"/>
      <c r="T2188" s="12"/>
      <c r="U2188" s="10" t="str">
        <f>HYPERLINK("https://pbs.twimg.com/profile_images/1065214756913582080/fpMeP2qa.jpg","View")</f>
        <v>View</v>
      </c>
    </row>
    <row r="2189" spans="1:21" ht="30.6">
      <c r="A2189" s="6">
        <v>43426.625509259262</v>
      </c>
      <c r="B2189" s="7" t="str">
        <f>HYPERLINK("https://twitter.com/Madridiario","@Madridiario")</f>
        <v>@Madridiario</v>
      </c>
      <c r="C2189" s="20" t="s">
        <v>7895</v>
      </c>
      <c r="D2189" s="9" t="s">
        <v>7896</v>
      </c>
      <c r="E2189" s="10" t="str">
        <f>HYPERLINK("https://twitter.com/Madridiario/status/1065606008041553920","1065606008041553920")</f>
        <v>1065606008041553920</v>
      </c>
      <c r="F2189" s="11" t="s">
        <v>7897</v>
      </c>
      <c r="G2189" s="12"/>
      <c r="H2189" s="12"/>
      <c r="I2189" s="13">
        <v>9</v>
      </c>
      <c r="J2189" s="13">
        <v>6</v>
      </c>
      <c r="K2189" s="14" t="str">
        <f>HYPERLINK("https://www.hootsuite.com","Hootsuite Inc.")</f>
        <v>Hootsuite Inc.</v>
      </c>
      <c r="L2189" s="13">
        <v>54570</v>
      </c>
      <c r="M2189" s="13">
        <v>4653</v>
      </c>
      <c r="N2189" s="13">
        <v>1658</v>
      </c>
      <c r="O2189" s="15"/>
      <c r="P2189" s="6">
        <v>39877.709236111114</v>
      </c>
      <c r="Q2189" s="17" t="s">
        <v>72</v>
      </c>
      <c r="R2189" s="18" t="s">
        <v>7898</v>
      </c>
      <c r="S2189" s="11" t="s">
        <v>7899</v>
      </c>
      <c r="T2189" s="12"/>
      <c r="U2189" s="10" t="str">
        <f>HYPERLINK("https://pbs.twimg.com/profile_images/1038907502312730626/r2b6nh54.jpg","View")</f>
        <v>View</v>
      </c>
    </row>
    <row r="2190" spans="1:21" ht="30.6">
      <c r="A2190" s="6">
        <v>43426.625</v>
      </c>
      <c r="B2190" s="7" t="str">
        <f>HYPERLINK("https://twitter.com/InfoNodal","@InfoNodal")</f>
        <v>@InfoNodal</v>
      </c>
      <c r="C2190" s="8" t="s">
        <v>7196</v>
      </c>
      <c r="D2190" s="9" t="s">
        <v>7197</v>
      </c>
      <c r="E2190" s="10" t="str">
        <f>HYPERLINK("https://twitter.com/InfoNodal/status/1065605821554401280","1065605821554401280")</f>
        <v>1065605821554401280</v>
      </c>
      <c r="F2190" s="11" t="s">
        <v>7198</v>
      </c>
      <c r="G2190" s="12"/>
      <c r="H2190" s="12"/>
      <c r="I2190" s="13">
        <v>1</v>
      </c>
      <c r="J2190" s="13">
        <v>2</v>
      </c>
      <c r="K2190" s="14" t="str">
        <f>HYPERLINK("https://about.twitter.com/products/tweetdeck","TweetDeck")</f>
        <v>TweetDeck</v>
      </c>
      <c r="L2190" s="13">
        <v>67448</v>
      </c>
      <c r="M2190" s="13">
        <v>4847</v>
      </c>
      <c r="N2190" s="13">
        <v>621</v>
      </c>
      <c r="O2190" s="16" t="s">
        <v>26</v>
      </c>
      <c r="P2190" s="6">
        <v>41429.653449074074</v>
      </c>
      <c r="Q2190" s="17" t="s">
        <v>422</v>
      </c>
      <c r="R2190" s="18" t="s">
        <v>7202</v>
      </c>
      <c r="S2190" s="11" t="s">
        <v>7203</v>
      </c>
      <c r="T2190" s="12"/>
      <c r="U2190" s="10" t="str">
        <f>HYPERLINK("https://pbs.twimg.com/profile_images/879797026216710145/Hp0T9CjQ.jpg","View")</f>
        <v>View</v>
      </c>
    </row>
    <row r="2191" spans="1:21" ht="51">
      <c r="A2191" s="6">
        <v>43426.623657407406</v>
      </c>
      <c r="B2191" s="7" t="str">
        <f>HYPERLINK("https://twitter.com/Rojillo2018","@Rojillo2018")</f>
        <v>@Rojillo2018</v>
      </c>
      <c r="C2191" s="8" t="s">
        <v>7900</v>
      </c>
      <c r="D2191" s="9" t="s">
        <v>7901</v>
      </c>
      <c r="E2191" s="10" t="str">
        <f>HYPERLINK("https://twitter.com/Rojillo2018/status/1065605336990711808","1065605336990711808")</f>
        <v>1065605336990711808</v>
      </c>
      <c r="F2191" s="12"/>
      <c r="G2191" s="11" t="s">
        <v>7902</v>
      </c>
      <c r="H2191" s="12"/>
      <c r="I2191" s="13">
        <v>3</v>
      </c>
      <c r="J2191" s="13">
        <v>3</v>
      </c>
      <c r="K2191" s="14" t="str">
        <f>HYPERLINK("http://twitter.com","Twitter Web Client")</f>
        <v>Twitter Web Client</v>
      </c>
      <c r="L2191" s="13">
        <v>449</v>
      </c>
      <c r="M2191" s="13">
        <v>1034</v>
      </c>
      <c r="N2191" s="13">
        <v>1</v>
      </c>
      <c r="O2191" s="15"/>
      <c r="P2191" s="6">
        <v>43416.63175925926</v>
      </c>
      <c r="Q2191" s="17" t="s">
        <v>7903</v>
      </c>
      <c r="R2191" s="18" t="s">
        <v>7904</v>
      </c>
      <c r="S2191" s="12"/>
      <c r="T2191" s="12"/>
      <c r="U2191" s="10" t="str">
        <f>HYPERLINK("https://pbs.twimg.com/profile_images/1063905639091642369/tNutwQbh.jpg","View")</f>
        <v>View</v>
      </c>
    </row>
    <row r="2192" spans="1:21" ht="40.799999999999997">
      <c r="A2192" s="6">
        <v>43426.623449074075</v>
      </c>
      <c r="B2192" s="7" t="str">
        <f>HYPERLINK("https://twitter.com/EliasAmor58","@EliasAmor58")</f>
        <v>@EliasAmor58</v>
      </c>
      <c r="C2192" s="8" t="s">
        <v>7905</v>
      </c>
      <c r="D2192" s="9" t="s">
        <v>5335</v>
      </c>
      <c r="E2192" s="10" t="str">
        <f>HYPERLINK("https://twitter.com/EliasAmor58/status/1065605258418814978","1065605258418814978")</f>
        <v>1065605258418814978</v>
      </c>
      <c r="F2192" s="11" t="s">
        <v>4718</v>
      </c>
      <c r="G2192" s="12"/>
      <c r="H2192" s="12"/>
      <c r="I2192" s="13">
        <v>0</v>
      </c>
      <c r="J2192" s="13">
        <v>1</v>
      </c>
      <c r="K2192" s="14" t="str">
        <f>HYPERLINK("http://twitter.com/download/android","Twitter for Android")</f>
        <v>Twitter for Android</v>
      </c>
      <c r="L2192" s="13">
        <v>1653</v>
      </c>
      <c r="M2192" s="13">
        <v>1639</v>
      </c>
      <c r="N2192" s="13">
        <v>53</v>
      </c>
      <c r="O2192" s="15"/>
      <c r="P2192" s="6">
        <v>40569.790636574078</v>
      </c>
      <c r="Q2192" s="17" t="s">
        <v>7906</v>
      </c>
      <c r="R2192" s="18" t="s">
        <v>7907</v>
      </c>
      <c r="S2192" s="12"/>
      <c r="T2192" s="12"/>
      <c r="U2192" s="10" t="str">
        <f>HYPERLINK("https://pbs.twimg.com/profile_images/809770707248971776/KvukWxsY.jpg","View")</f>
        <v>View</v>
      </c>
    </row>
    <row r="2193" spans="1:21" ht="40.799999999999997">
      <c r="A2193" s="6">
        <v>43426.622731481482</v>
      </c>
      <c r="B2193" s="7" t="str">
        <f>HYPERLINK("https://twitter.com/JagValdezate","@JagValdezate")</f>
        <v>@JagValdezate</v>
      </c>
      <c r="C2193" s="8" t="s">
        <v>7908</v>
      </c>
      <c r="D2193" s="9" t="s">
        <v>7909</v>
      </c>
      <c r="E2193" s="10" t="str">
        <f>HYPERLINK("https://twitter.com/JagValdezate/status/1065604998959153152","1065604998959153152")</f>
        <v>1065604998959153152</v>
      </c>
      <c r="F2193" s="11" t="s">
        <v>4194</v>
      </c>
      <c r="G2193" s="12"/>
      <c r="H2193" s="12"/>
      <c r="I2193" s="13">
        <v>0</v>
      </c>
      <c r="J2193" s="13">
        <v>0</v>
      </c>
      <c r="K2193" s="14" t="str">
        <f>HYPERLINK("http://twitter.com","Twitter Web Client")</f>
        <v>Twitter Web Client</v>
      </c>
      <c r="L2193" s="13">
        <v>3709</v>
      </c>
      <c r="M2193" s="13">
        <v>3793</v>
      </c>
      <c r="N2193" s="13">
        <v>24</v>
      </c>
      <c r="O2193" s="15"/>
      <c r="P2193" s="6">
        <v>40377.709814814814</v>
      </c>
      <c r="Q2193" s="17" t="s">
        <v>72</v>
      </c>
      <c r="R2193" s="18" t="s">
        <v>7910</v>
      </c>
      <c r="S2193" s="11" t="s">
        <v>7911</v>
      </c>
      <c r="T2193" s="12"/>
      <c r="U2193" s="10" t="str">
        <f>HYPERLINK("https://pbs.twimg.com/profile_images/446611538606964736/S6EfMdkM.jpeg","View")</f>
        <v>View</v>
      </c>
    </row>
    <row r="2194" spans="1:21" ht="51">
      <c r="A2194" s="6">
        <v>43426.622615740736</v>
      </c>
      <c r="B2194" s="7" t="str">
        <f>HYPERLINK("https://twitter.com/Adannae","@Adannae")</f>
        <v>@Adannae</v>
      </c>
      <c r="C2194" s="8" t="s">
        <v>4364</v>
      </c>
      <c r="D2194" s="9" t="s">
        <v>7912</v>
      </c>
      <c r="E2194" s="10" t="str">
        <f>HYPERLINK("https://twitter.com/Adannae/status/1065604956307234818","1065604956307234818")</f>
        <v>1065604956307234818</v>
      </c>
      <c r="F2194" s="12"/>
      <c r="G2194" s="12"/>
      <c r="H2194" s="12"/>
      <c r="I2194" s="13">
        <v>12</v>
      </c>
      <c r="J2194" s="13">
        <v>31</v>
      </c>
      <c r="K2194" s="14" t="str">
        <f t="shared" ref="K2194:K2195" si="357">HYPERLINK("http://twitter.com/download/android","Twitter for Android")</f>
        <v>Twitter for Android</v>
      </c>
      <c r="L2194" s="13">
        <v>3002</v>
      </c>
      <c r="M2194" s="13">
        <v>2560</v>
      </c>
      <c r="N2194" s="13">
        <v>29</v>
      </c>
      <c r="O2194" s="15"/>
      <c r="P2194" s="6">
        <v>40160.556307870371</v>
      </c>
      <c r="Q2194" s="17" t="s">
        <v>28</v>
      </c>
      <c r="R2194" s="18" t="s">
        <v>4366</v>
      </c>
      <c r="S2194" s="11" t="s">
        <v>4367</v>
      </c>
      <c r="T2194" s="12"/>
      <c r="U2194" s="10" t="str">
        <f>HYPERLINK("https://pbs.twimg.com/profile_images/1060232822420656129/69l9JhJ7.jpg","View")</f>
        <v>View</v>
      </c>
    </row>
    <row r="2195" spans="1:21" ht="30.6">
      <c r="A2195" s="6">
        <v>43426.621874999997</v>
      </c>
      <c r="B2195" s="7" t="str">
        <f>HYPERLINK("https://twitter.com/mediasetcyl","@mediasetcyl")</f>
        <v>@mediasetcyl</v>
      </c>
      <c r="C2195" s="8" t="s">
        <v>7913</v>
      </c>
      <c r="D2195" s="9" t="s">
        <v>7914</v>
      </c>
      <c r="E2195" s="10" t="str">
        <f>HYPERLINK("https://twitter.com/mediasetcyl/status/1065604689532788736","1065604689532788736")</f>
        <v>1065604689532788736</v>
      </c>
      <c r="F2195" s="11" t="s">
        <v>7915</v>
      </c>
      <c r="G2195" s="11" t="s">
        <v>7916</v>
      </c>
      <c r="H2195" s="12"/>
      <c r="I2195" s="13">
        <v>0</v>
      </c>
      <c r="J2195" s="13">
        <v>1</v>
      </c>
      <c r="K2195" s="14" t="str">
        <f t="shared" si="357"/>
        <v>Twitter for Android</v>
      </c>
      <c r="L2195" s="13">
        <v>247</v>
      </c>
      <c r="M2195" s="13">
        <v>225</v>
      </c>
      <c r="N2195" s="13">
        <v>5</v>
      </c>
      <c r="O2195" s="15"/>
      <c r="P2195" s="6">
        <v>42642.573194444441</v>
      </c>
      <c r="Q2195" s="17" t="s">
        <v>7917</v>
      </c>
      <c r="R2195" s="18" t="s">
        <v>7918</v>
      </c>
      <c r="S2195" s="11" t="s">
        <v>7919</v>
      </c>
      <c r="T2195" s="12"/>
      <c r="U2195" s="10" t="str">
        <f>HYPERLINK("https://pbs.twimg.com/profile_images/877490260242042881/1ymDO0Xa.jpg","View")</f>
        <v>View</v>
      </c>
    </row>
    <row r="2196" spans="1:21" ht="13.2">
      <c r="A2196" s="6">
        <v>43426.621631944443</v>
      </c>
      <c r="B2196" s="7" t="str">
        <f>HYPERLINK("https://twitter.com/ElDia_do","@ElDia_do")</f>
        <v>@ElDia_do</v>
      </c>
      <c r="C2196" s="8" t="s">
        <v>7920</v>
      </c>
      <c r="D2196" s="9" t="s">
        <v>7921</v>
      </c>
      <c r="E2196" s="10" t="str">
        <f>HYPERLINK("https://twitter.com/ElDia_do/status/1065604599619485696","1065604599619485696")</f>
        <v>1065604599619485696</v>
      </c>
      <c r="F2196" s="11" t="s">
        <v>7922</v>
      </c>
      <c r="G2196" s="11" t="s">
        <v>7923</v>
      </c>
      <c r="H2196" s="12"/>
      <c r="I2196" s="13">
        <v>0</v>
      </c>
      <c r="J2196" s="13">
        <v>0</v>
      </c>
      <c r="K2196" s="14" t="str">
        <f t="shared" ref="K2196:K2198" si="358">HYPERLINK("http://twitter.com","Twitter Web Client")</f>
        <v>Twitter Web Client</v>
      </c>
      <c r="L2196" s="13">
        <v>266182</v>
      </c>
      <c r="M2196" s="13">
        <v>2775</v>
      </c>
      <c r="N2196" s="13">
        <v>693</v>
      </c>
      <c r="O2196" s="16" t="s">
        <v>26</v>
      </c>
      <c r="P2196" s="6">
        <v>40310.916087962964</v>
      </c>
      <c r="Q2196" s="17" t="s">
        <v>7924</v>
      </c>
      <c r="R2196" s="18" t="s">
        <v>7925</v>
      </c>
      <c r="S2196" s="11" t="s">
        <v>7926</v>
      </c>
      <c r="T2196" s="12"/>
      <c r="U2196" s="10" t="str">
        <f>HYPERLINK("https://pbs.twimg.com/profile_images/973226616791891968/QdwB3RFg.jpg","View")</f>
        <v>View</v>
      </c>
    </row>
    <row r="2197" spans="1:21" ht="20.399999999999999">
      <c r="A2197" s="6">
        <v>43426.621562500004</v>
      </c>
      <c r="B2197" s="7" t="str">
        <f>HYPERLINK("https://twitter.com/esferru3","@esferru3")</f>
        <v>@esferru3</v>
      </c>
      <c r="C2197" s="8" t="s">
        <v>7927</v>
      </c>
      <c r="D2197" s="9" t="s">
        <v>1143</v>
      </c>
      <c r="E2197" s="10" t="str">
        <f>HYPERLINK("https://twitter.com/esferru3/status/1065604577129627648","1065604577129627648")</f>
        <v>1065604577129627648</v>
      </c>
      <c r="F2197" s="11" t="s">
        <v>7928</v>
      </c>
      <c r="G2197" s="12"/>
      <c r="H2197" s="12"/>
      <c r="I2197" s="13">
        <v>0</v>
      </c>
      <c r="J2197" s="13">
        <v>0</v>
      </c>
      <c r="K2197" s="14" t="str">
        <f t="shared" si="358"/>
        <v>Twitter Web Client</v>
      </c>
      <c r="L2197" s="13">
        <v>997</v>
      </c>
      <c r="M2197" s="13">
        <v>1048</v>
      </c>
      <c r="N2197" s="13">
        <v>5</v>
      </c>
      <c r="O2197" s="15"/>
      <c r="P2197" s="6">
        <v>40997.310150462959</v>
      </c>
      <c r="Q2197" s="17" t="s">
        <v>2270</v>
      </c>
      <c r="R2197" s="18" t="s">
        <v>7929</v>
      </c>
      <c r="S2197" s="12"/>
      <c r="T2197" s="12"/>
      <c r="U2197" s="10" t="str">
        <f>HYPERLINK("https://pbs.twimg.com/profile_images/1015598188445753344/vjVU1ydC.jpg","View")</f>
        <v>View</v>
      </c>
    </row>
    <row r="2198" spans="1:21" ht="20.399999999999999">
      <c r="A2198" s="6">
        <v>43426.62128472222</v>
      </c>
      <c r="B2198" s="7" t="str">
        <f>HYPERLINK("https://twitter.com/NataC40","@NataC40")</f>
        <v>@NataC40</v>
      </c>
      <c r="C2198" s="8" t="s">
        <v>7930</v>
      </c>
      <c r="D2198" s="9" t="s">
        <v>7931</v>
      </c>
      <c r="E2198" s="10" t="str">
        <f>HYPERLINK("https://twitter.com/NataC40/status/1065604476764082177","1065604476764082177")</f>
        <v>1065604476764082177</v>
      </c>
      <c r="F2198" s="11" t="s">
        <v>7932</v>
      </c>
      <c r="G2198" s="12"/>
      <c r="H2198" s="12"/>
      <c r="I2198" s="13">
        <v>0</v>
      </c>
      <c r="J2198" s="13">
        <v>0</v>
      </c>
      <c r="K2198" s="14" t="str">
        <f t="shared" si="358"/>
        <v>Twitter Web Client</v>
      </c>
      <c r="L2198" s="13">
        <v>857</v>
      </c>
      <c r="M2198" s="13">
        <v>1286</v>
      </c>
      <c r="N2198" s="13">
        <v>30</v>
      </c>
      <c r="O2198" s="15"/>
      <c r="P2198" s="6">
        <v>40752.914143518516</v>
      </c>
      <c r="Q2198" s="17" t="s">
        <v>72</v>
      </c>
      <c r="R2198" s="19"/>
      <c r="S2198" s="11" t="s">
        <v>7933</v>
      </c>
      <c r="T2198" s="12"/>
      <c r="U2198" s="10" t="str">
        <f>HYPERLINK("https://pbs.twimg.com/profile_images/1651129221/19540_1269559713426_1662840659_641834_5949201_n.jpg","View")</f>
        <v>View</v>
      </c>
    </row>
    <row r="2199" spans="1:21" ht="13.2">
      <c r="A2199" s="6">
        <v>43426.620879629627</v>
      </c>
      <c r="B2199" s="7" t="str">
        <f>HYPERLINK("https://twitter.com/biggesteggs","@biggesteggs")</f>
        <v>@biggesteggs</v>
      </c>
      <c r="C2199" s="8" t="s">
        <v>7934</v>
      </c>
      <c r="D2199" s="9" t="s">
        <v>7935</v>
      </c>
      <c r="E2199" s="10" t="str">
        <f>HYPERLINK("https://twitter.com/biggesteggs/status/1065604326444408832","1065604326444408832")</f>
        <v>1065604326444408832</v>
      </c>
      <c r="F2199" s="11" t="s">
        <v>7037</v>
      </c>
      <c r="G2199" s="12"/>
      <c r="H2199" s="12"/>
      <c r="I2199" s="13">
        <v>0</v>
      </c>
      <c r="J2199" s="13">
        <v>0</v>
      </c>
      <c r="K2199" s="14" t="str">
        <f>HYPERLINK("http://www.facebook.com/twitter","Facebook")</f>
        <v>Facebook</v>
      </c>
      <c r="L2199" s="13">
        <v>106</v>
      </c>
      <c r="M2199" s="13">
        <v>364</v>
      </c>
      <c r="N2199" s="13">
        <v>4</v>
      </c>
      <c r="O2199" s="15"/>
      <c r="P2199" s="6">
        <v>40329.085011574076</v>
      </c>
      <c r="Q2199" s="17" t="s">
        <v>7936</v>
      </c>
      <c r="R2199" s="19"/>
      <c r="S2199" s="12"/>
      <c r="T2199" s="12"/>
      <c r="U2199" s="10" t="str">
        <f>HYPERLINK("https://pbs.twimg.com/profile_images/950098109/Bandera_Nueva_Eespa_a.jpg","View")</f>
        <v>View</v>
      </c>
    </row>
    <row r="2200" spans="1:21" ht="20.399999999999999">
      <c r="A2200" s="6">
        <v>43426.618368055555</v>
      </c>
      <c r="B2200" s="7" t="str">
        <f>HYPERLINK("https://twitter.com/CarlosAsegurad1","@CarlosAsegurad1")</f>
        <v>@CarlosAsegurad1</v>
      </c>
      <c r="C2200" s="8" t="s">
        <v>7937</v>
      </c>
      <c r="D2200" s="9" t="s">
        <v>1143</v>
      </c>
      <c r="E2200" s="10" t="str">
        <f>HYPERLINK("https://twitter.com/CarlosAsegurad1/status/1065603419451400192","1065603419451400192")</f>
        <v>1065603419451400192</v>
      </c>
      <c r="F2200" s="11" t="s">
        <v>7938</v>
      </c>
      <c r="G2200" s="12"/>
      <c r="H2200" s="12"/>
      <c r="I2200" s="13">
        <v>0</v>
      </c>
      <c r="J2200" s="13">
        <v>0</v>
      </c>
      <c r="K2200" s="14" t="str">
        <f>HYPERLINK("http://twitter.com/download/android","Twitter for Android")</f>
        <v>Twitter for Android</v>
      </c>
      <c r="L2200" s="13">
        <v>66</v>
      </c>
      <c r="M2200" s="13">
        <v>94</v>
      </c>
      <c r="N2200" s="13">
        <v>1</v>
      </c>
      <c r="O2200" s="15"/>
      <c r="P2200" s="6">
        <v>43152.390648148154</v>
      </c>
      <c r="Q2200" s="17" t="s">
        <v>7939</v>
      </c>
      <c r="R2200" s="18" t="s">
        <v>7940</v>
      </c>
      <c r="S2200" s="12"/>
      <c r="T2200" s="12"/>
      <c r="U2200" s="10" t="str">
        <f>HYPERLINK("https://pbs.twimg.com/profile_images/1041899618223710208/T38I1_SN.jpg","View")</f>
        <v>View</v>
      </c>
    </row>
    <row r="2201" spans="1:21" ht="40.799999999999997">
      <c r="A2201" s="6">
        <v>43426.617465277777</v>
      </c>
      <c r="B2201" s="7" t="str">
        <f>HYPERLINK("https://twitter.com/elmundoes","@elmundoes")</f>
        <v>@elmundoes</v>
      </c>
      <c r="C2201" s="8" t="s">
        <v>7310</v>
      </c>
      <c r="D2201" s="9" t="s">
        <v>7941</v>
      </c>
      <c r="E2201" s="10" t="str">
        <f>HYPERLINK("https://twitter.com/elmundoes/status/1065603091490267136","1065603091490267136")</f>
        <v>1065603091490267136</v>
      </c>
      <c r="F2201" s="11" t="s">
        <v>7942</v>
      </c>
      <c r="G2201" s="12"/>
      <c r="H2201" s="12"/>
      <c r="I2201" s="13">
        <v>10</v>
      </c>
      <c r="J2201" s="13">
        <v>8</v>
      </c>
      <c r="K2201" s="14" t="str">
        <f>HYPERLINK("http://www.socialflow.com","SocialFlow")</f>
        <v>SocialFlow</v>
      </c>
      <c r="L2201" s="13">
        <v>3190374</v>
      </c>
      <c r="M2201" s="13">
        <v>1355</v>
      </c>
      <c r="N2201" s="13">
        <v>29574</v>
      </c>
      <c r="O2201" s="16" t="s">
        <v>26</v>
      </c>
      <c r="P2201" s="6">
        <v>39556.853761574072</v>
      </c>
      <c r="Q2201" s="17" t="s">
        <v>28</v>
      </c>
      <c r="R2201" s="18" t="s">
        <v>7313</v>
      </c>
      <c r="S2201" s="11" t="s">
        <v>7314</v>
      </c>
      <c r="T2201" s="12"/>
      <c r="U2201" s="10" t="str">
        <f>HYPERLINK("https://pbs.twimg.com/profile_images/959947259780747265/ez18J78k.jpg","View")</f>
        <v>View</v>
      </c>
    </row>
    <row r="2202" spans="1:21" ht="102">
      <c r="A2202" s="6">
        <v>43426.617384259254</v>
      </c>
      <c r="B2202" s="7" t="str">
        <f>HYPERLINK("https://twitter.com/IvnTro","@IvnTro")</f>
        <v>@IvnTro</v>
      </c>
      <c r="C2202" s="8" t="s">
        <v>467</v>
      </c>
      <c r="D2202" s="9" t="s">
        <v>7943</v>
      </c>
      <c r="E2202" s="10" t="str">
        <f>HYPERLINK("https://twitter.com/IvnTro/status/1065603063195541505","1065603063195541505")</f>
        <v>1065603063195541505</v>
      </c>
      <c r="F2202" s="11" t="s">
        <v>5790</v>
      </c>
      <c r="G2202" s="12"/>
      <c r="H2202" s="12"/>
      <c r="I2202" s="13">
        <v>0</v>
      </c>
      <c r="J2202" s="13">
        <v>0</v>
      </c>
      <c r="K2202" s="14" t="str">
        <f>HYPERLINK("http://twitter.com/download/iphone","Twitter for iPhone")</f>
        <v>Twitter for iPhone</v>
      </c>
      <c r="L2202" s="13">
        <v>146</v>
      </c>
      <c r="M2202" s="13">
        <v>662</v>
      </c>
      <c r="N2202" s="13">
        <v>3</v>
      </c>
      <c r="O2202" s="15"/>
      <c r="P2202" s="6">
        <v>41121.478819444441</v>
      </c>
      <c r="Q2202" s="12"/>
      <c r="R2202" s="18" t="s">
        <v>7944</v>
      </c>
      <c r="S2202" s="12"/>
      <c r="T2202" s="12"/>
      <c r="U2202" s="10" t="str">
        <f>HYPERLINK("https://pbs.twimg.com/profile_images/909161488614612992/EkRElpX_.jpg","View")</f>
        <v>View</v>
      </c>
    </row>
    <row r="2203" spans="1:21" ht="51">
      <c r="A2203" s="6">
        <v>43426.616469907407</v>
      </c>
      <c r="B2203" s="7" t="str">
        <f>HYPERLINK("https://twitter.com/VanguardiaCuba","@VanguardiaCuba")</f>
        <v>@VanguardiaCuba</v>
      </c>
      <c r="C2203" s="8" t="s">
        <v>7945</v>
      </c>
      <c r="D2203" s="9" t="s">
        <v>7946</v>
      </c>
      <c r="E2203" s="10" t="str">
        <f>HYPERLINK("https://twitter.com/VanguardiaCuba/status/1065602728901165058","1065602728901165058")</f>
        <v>1065602728901165058</v>
      </c>
      <c r="F2203" s="12"/>
      <c r="G2203" s="11" t="s">
        <v>7947</v>
      </c>
      <c r="H2203" s="12"/>
      <c r="I2203" s="13">
        <v>4</v>
      </c>
      <c r="J2203" s="13">
        <v>9</v>
      </c>
      <c r="K2203" s="14" t="str">
        <f t="shared" ref="K2203:K2205" si="359">HYPERLINK("http://twitter.com","Twitter Web Client")</f>
        <v>Twitter Web Client</v>
      </c>
      <c r="L2203" s="13">
        <v>9277</v>
      </c>
      <c r="M2203" s="13">
        <v>1144</v>
      </c>
      <c r="N2203" s="13">
        <v>167</v>
      </c>
      <c r="O2203" s="15"/>
      <c r="P2203" s="6">
        <v>40094.78224537037</v>
      </c>
      <c r="Q2203" s="17" t="s">
        <v>7120</v>
      </c>
      <c r="R2203" s="18" t="s">
        <v>7948</v>
      </c>
      <c r="S2203" s="11" t="s">
        <v>7949</v>
      </c>
      <c r="T2203" s="12"/>
      <c r="U2203" s="10" t="str">
        <f>HYPERLINK("https://pbs.twimg.com/profile_images/3677883839/def9a7ef3926a4bf117dfdb3c63d61fa.png","View")</f>
        <v>View</v>
      </c>
    </row>
    <row r="2204" spans="1:21" ht="40.799999999999997">
      <c r="A2204" s="6">
        <v>43426.616018518514</v>
      </c>
      <c r="B2204" s="7" t="str">
        <f>HYPERLINK("https://twitter.com/DamasdBlanco","@DamasdBlanco")</f>
        <v>@DamasdBlanco</v>
      </c>
      <c r="C2204" s="8" t="s">
        <v>4197</v>
      </c>
      <c r="D2204" s="9" t="s">
        <v>4198</v>
      </c>
      <c r="E2204" s="10" t="str">
        <f>HYPERLINK("https://twitter.com/DamasdBlanco/status/1065602565927247873","1065602565927247873")</f>
        <v>1065602565927247873</v>
      </c>
      <c r="F2204" s="11" t="s">
        <v>5938</v>
      </c>
      <c r="G2204" s="12"/>
      <c r="H2204" s="12"/>
      <c r="I2204" s="13">
        <v>18</v>
      </c>
      <c r="J2204" s="13">
        <v>11</v>
      </c>
      <c r="K2204" s="14" t="str">
        <f t="shared" si="359"/>
        <v>Twitter Web Client</v>
      </c>
      <c r="L2204" s="13">
        <v>28165</v>
      </c>
      <c r="M2204" s="13">
        <v>3218</v>
      </c>
      <c r="N2204" s="13">
        <v>439</v>
      </c>
      <c r="O2204" s="15"/>
      <c r="P2204" s="6">
        <v>40295.827615740738</v>
      </c>
      <c r="Q2204" s="17" t="s">
        <v>4200</v>
      </c>
      <c r="R2204" s="18" t="s">
        <v>4201</v>
      </c>
      <c r="S2204" s="11" t="s">
        <v>4202</v>
      </c>
      <c r="T2204" s="12"/>
      <c r="U2204" s="10" t="str">
        <f>HYPERLINK("https://pbs.twimg.com/profile_images/1048363394942865408/L7MW1vT-.jpg","View")</f>
        <v>View</v>
      </c>
    </row>
    <row r="2205" spans="1:21" ht="20.399999999999999">
      <c r="A2205" s="6">
        <v>43426.615694444445</v>
      </c>
      <c r="B2205" s="7" t="str">
        <f>HYPERLINK("https://twitter.com/puritita1","@puritita1")</f>
        <v>@puritita1</v>
      </c>
      <c r="C2205" s="8" t="s">
        <v>7950</v>
      </c>
      <c r="D2205" s="9" t="s">
        <v>5335</v>
      </c>
      <c r="E2205" s="10" t="str">
        <f>HYPERLINK("https://twitter.com/puritita1/status/1065602449334026240","1065602449334026240")</f>
        <v>1065602449334026240</v>
      </c>
      <c r="F2205" s="11" t="s">
        <v>4718</v>
      </c>
      <c r="G2205" s="12"/>
      <c r="H2205" s="12"/>
      <c r="I2205" s="13">
        <v>0</v>
      </c>
      <c r="J2205" s="13">
        <v>0</v>
      </c>
      <c r="K2205" s="14" t="str">
        <f t="shared" si="359"/>
        <v>Twitter Web Client</v>
      </c>
      <c r="L2205" s="13">
        <v>4</v>
      </c>
      <c r="M2205" s="13">
        <v>12</v>
      </c>
      <c r="N2205" s="13">
        <v>1</v>
      </c>
      <c r="O2205" s="15"/>
      <c r="P2205" s="6">
        <v>41452.966296296298</v>
      </c>
      <c r="Q2205" s="12"/>
      <c r="R2205" s="19"/>
      <c r="S2205" s="12"/>
      <c r="T2205" s="12"/>
      <c r="U2205" s="16" t="s">
        <v>373</v>
      </c>
    </row>
    <row r="2206" spans="1:21" ht="30.6">
      <c r="A2206" s="6">
        <v>43426.614236111112</v>
      </c>
      <c r="B2206" s="7" t="str">
        <f>HYPERLINK("https://twitter.com/UnRepelente","@UnRepelente")</f>
        <v>@UnRepelente</v>
      </c>
      <c r="C2206" s="8" t="s">
        <v>7951</v>
      </c>
      <c r="D2206" s="9" t="s">
        <v>7952</v>
      </c>
      <c r="E2206" s="10" t="str">
        <f>HYPERLINK("https://twitter.com/UnRepelente/status/1065601921539551232","1065601921539551232")</f>
        <v>1065601921539551232</v>
      </c>
      <c r="F2206" s="11" t="s">
        <v>7953</v>
      </c>
      <c r="G2206" s="12"/>
      <c r="H2206" s="12"/>
      <c r="I2206" s="13">
        <v>0</v>
      </c>
      <c r="J2206" s="13">
        <v>0</v>
      </c>
      <c r="K2206" s="14" t="str">
        <f t="shared" ref="K2206:K2207" si="360">HYPERLINK("https://ifttt.com","IFTTT")</f>
        <v>IFTTT</v>
      </c>
      <c r="L2206" s="13">
        <v>123</v>
      </c>
      <c r="M2206" s="13">
        <v>48</v>
      </c>
      <c r="N2206" s="13">
        <v>25</v>
      </c>
      <c r="O2206" s="15"/>
      <c r="P2206" s="6">
        <v>40493.050185185188</v>
      </c>
      <c r="Q2206" s="17" t="s">
        <v>7954</v>
      </c>
      <c r="R2206" s="18" t="s">
        <v>7955</v>
      </c>
      <c r="S2206" s="12"/>
      <c r="T2206" s="12"/>
      <c r="U2206" s="10" t="str">
        <f>HYPERLINK("https://pbs.twimg.com/profile_images/3488666454/2d1757d6fd2db559ebbed794ef568813.jpeg","View")</f>
        <v>View</v>
      </c>
    </row>
    <row r="2207" spans="1:21" ht="30.6">
      <c r="A2207" s="6">
        <v>43426.614166666666</v>
      </c>
      <c r="B2207" s="7" t="str">
        <f>HYPERLINK("https://twitter.com/RTn_mundo","@RTn_mundo")</f>
        <v>@RTn_mundo</v>
      </c>
      <c r="C2207" s="8" t="s">
        <v>7956</v>
      </c>
      <c r="D2207" s="9" t="s">
        <v>7957</v>
      </c>
      <c r="E2207" s="10" t="str">
        <f>HYPERLINK("https://twitter.com/RTn_mundo/status/1065601894746398720","1065601894746398720")</f>
        <v>1065601894746398720</v>
      </c>
      <c r="F2207" s="11" t="s">
        <v>7958</v>
      </c>
      <c r="G2207" s="12"/>
      <c r="H2207" s="12"/>
      <c r="I2207" s="13">
        <v>0</v>
      </c>
      <c r="J2207" s="13">
        <v>0</v>
      </c>
      <c r="K2207" s="14" t="str">
        <f t="shared" si="360"/>
        <v>IFTTT</v>
      </c>
      <c r="L2207" s="13">
        <v>308</v>
      </c>
      <c r="M2207" s="13">
        <v>591</v>
      </c>
      <c r="N2207" s="13">
        <v>8</v>
      </c>
      <c r="O2207" s="15"/>
      <c r="P2207" s="6">
        <v>42396.786168981482</v>
      </c>
      <c r="Q2207" s="17" t="s">
        <v>27</v>
      </c>
      <c r="R2207" s="18" t="s">
        <v>7959</v>
      </c>
      <c r="S2207" s="11" t="s">
        <v>7723</v>
      </c>
      <c r="T2207" s="12"/>
      <c r="U2207" s="10" t="str">
        <f>HYPERLINK("https://pbs.twimg.com/profile_images/970438819009912832/gN6XMkMv.jpg","View")</f>
        <v>View</v>
      </c>
    </row>
    <row r="2208" spans="1:21" ht="30.6">
      <c r="A2208" s="6">
        <v>43426.613750000004</v>
      </c>
      <c r="B2208" s="7" t="str">
        <f>HYPERLINK("https://twitter.com/BorgonesDan","@BorgonesDan")</f>
        <v>@BorgonesDan</v>
      </c>
      <c r="C2208" s="8" t="s">
        <v>7960</v>
      </c>
      <c r="D2208" s="9" t="s">
        <v>7961</v>
      </c>
      <c r="E2208" s="10" t="str">
        <f>HYPERLINK("https://twitter.com/BorgonesDan/status/1065601745483632640","1065601745483632640")</f>
        <v>1065601745483632640</v>
      </c>
      <c r="F2208" s="11" t="s">
        <v>2231</v>
      </c>
      <c r="G2208" s="12"/>
      <c r="H2208" s="12"/>
      <c r="I2208" s="13">
        <v>0</v>
      </c>
      <c r="J2208" s="13">
        <v>0</v>
      </c>
      <c r="K2208" s="14" t="str">
        <f>HYPERLINK("http://www.facebook.com/twitter","Facebook")</f>
        <v>Facebook</v>
      </c>
      <c r="L2208" s="13">
        <v>77</v>
      </c>
      <c r="M2208" s="13">
        <v>232</v>
      </c>
      <c r="N2208" s="13">
        <v>1</v>
      </c>
      <c r="O2208" s="15"/>
      <c r="P2208" s="6">
        <v>40679.759270833332</v>
      </c>
      <c r="Q2208" s="12"/>
      <c r="R2208" s="19"/>
      <c r="S2208" s="12"/>
      <c r="T2208" s="12"/>
      <c r="U2208" s="10" t="str">
        <f>HYPERLINK("https://pbs.twimg.com/profile_images/1356457292/arn_iz1.jpg","View")</f>
        <v>View</v>
      </c>
    </row>
    <row r="2209" spans="1:21" ht="30.6">
      <c r="A2209" s="6">
        <v>43426.613738425927</v>
      </c>
      <c r="B2209" s="7" t="str">
        <f>HYPERLINK("https://twitter.com/SSarelvis67","@SSarelvis67")</f>
        <v>@SSarelvis67</v>
      </c>
      <c r="C2209" s="8" t="s">
        <v>5870</v>
      </c>
      <c r="D2209" s="9" t="s">
        <v>7962</v>
      </c>
      <c r="E2209" s="10" t="str">
        <f>HYPERLINK("https://twitter.com/SSarelvis67/status/1065601741364887554","1065601741364887554")</f>
        <v>1065601741364887554</v>
      </c>
      <c r="F2209" s="11" t="s">
        <v>4718</v>
      </c>
      <c r="G2209" s="12"/>
      <c r="H2209" s="12"/>
      <c r="I2209" s="13">
        <v>13</v>
      </c>
      <c r="J2209" s="13">
        <v>14</v>
      </c>
      <c r="K2209" s="14" t="str">
        <f>HYPERLINK("http://twitter.com/download/android","Twitter for Android")</f>
        <v>Twitter for Android</v>
      </c>
      <c r="L2209" s="13">
        <v>1926</v>
      </c>
      <c r="M2209" s="13">
        <v>2763</v>
      </c>
      <c r="N2209" s="13">
        <v>14</v>
      </c>
      <c r="O2209" s="15"/>
      <c r="P2209" s="6">
        <v>41358.931979166664</v>
      </c>
      <c r="Q2209" s="12"/>
      <c r="R2209" s="19"/>
      <c r="S2209" s="12"/>
      <c r="T2209" s="12"/>
      <c r="U2209" s="10" t="str">
        <f>HYPERLINK("https://pbs.twimg.com/profile_images/1047798065602723840/HgQ02HsX.jpg","View")</f>
        <v>View</v>
      </c>
    </row>
    <row r="2210" spans="1:21" ht="30.6">
      <c r="A2210" s="6">
        <v>43426.613703703704</v>
      </c>
      <c r="B2210" s="7" t="str">
        <f>HYPERLINK("https://twitter.com/LimaNewsWeek","@LimaNewsWeek")</f>
        <v>@LimaNewsWeek</v>
      </c>
      <c r="C2210" s="8" t="s">
        <v>3686</v>
      </c>
      <c r="D2210" s="9" t="s">
        <v>7952</v>
      </c>
      <c r="E2210" s="10" t="str">
        <f>HYPERLINK("https://twitter.com/LimaNewsWeek/status/1065601728756756482","1065601728756756482")</f>
        <v>1065601728756756482</v>
      </c>
      <c r="F2210" s="11" t="s">
        <v>7963</v>
      </c>
      <c r="G2210" s="11" t="s">
        <v>7964</v>
      </c>
      <c r="H2210" s="12"/>
      <c r="I2210" s="13">
        <v>0</v>
      </c>
      <c r="J2210" s="13">
        <v>0</v>
      </c>
      <c r="K2210" s="14" t="str">
        <f>HYPERLINK("https://www.hootsuite.com","Hootsuite Inc.")</f>
        <v>Hootsuite Inc.</v>
      </c>
      <c r="L2210" s="13">
        <v>320</v>
      </c>
      <c r="M2210" s="13">
        <v>203</v>
      </c>
      <c r="N2210" s="13">
        <v>13</v>
      </c>
      <c r="O2210" s="15"/>
      <c r="P2210" s="6">
        <v>42487.695150462961</v>
      </c>
      <c r="Q2210" s="17" t="s">
        <v>944</v>
      </c>
      <c r="R2210" s="19"/>
      <c r="S2210" s="12"/>
      <c r="T2210" s="12"/>
      <c r="U2210" s="10" t="str">
        <f>HYPERLINK("https://pbs.twimg.com/profile_images/958496533141491712/cgi53uZo.jpg","View")</f>
        <v>View</v>
      </c>
    </row>
    <row r="2211" spans="1:21" ht="30.6">
      <c r="A2211" s="6">
        <v>43426.613333333335</v>
      </c>
      <c r="B2211" s="7" t="str">
        <f>HYPERLINK("https://twitter.com/AdriMat3","@AdriMat3")</f>
        <v>@AdriMat3</v>
      </c>
      <c r="C2211" s="8" t="s">
        <v>7965</v>
      </c>
      <c r="D2211" s="9" t="s">
        <v>7966</v>
      </c>
      <c r="E2211" s="10" t="str">
        <f>HYPERLINK("https://twitter.com/AdriMat3/status/1065601592228020224","1065601592228020224")</f>
        <v>1065601592228020224</v>
      </c>
      <c r="F2211" s="11" t="s">
        <v>7958</v>
      </c>
      <c r="G2211" s="12"/>
      <c r="H2211" s="12"/>
      <c r="I2211" s="13">
        <v>0</v>
      </c>
      <c r="J2211" s="13">
        <v>0</v>
      </c>
      <c r="K2211" s="14" t="str">
        <f>HYPERLINK("https://ifttt.com","IFTTT")</f>
        <v>IFTTT</v>
      </c>
      <c r="L2211" s="13">
        <v>150</v>
      </c>
      <c r="M2211" s="13">
        <v>117</v>
      </c>
      <c r="N2211" s="13">
        <v>4</v>
      </c>
      <c r="O2211" s="15"/>
      <c r="P2211" s="6">
        <v>41698.953923611109</v>
      </c>
      <c r="Q2211" s="17" t="s">
        <v>7967</v>
      </c>
      <c r="R2211" s="19"/>
      <c r="S2211" s="12"/>
      <c r="T2211" s="12"/>
      <c r="U2211" s="10" t="str">
        <f>HYPERLINK("https://pbs.twimg.com/profile_images/514549672552054784/SZ5zmOUa.jpeg","View")</f>
        <v>View</v>
      </c>
    </row>
    <row r="2212" spans="1:21" ht="71.400000000000006">
      <c r="A2212" s="6">
        <v>43426.61273148148</v>
      </c>
      <c r="B2212" s="7" t="str">
        <f>HYPERLINK("https://twitter.com/inaki_guerrero","@inaki_guerrero")</f>
        <v>@inaki_guerrero</v>
      </c>
      <c r="C2212" s="8" t="s">
        <v>7968</v>
      </c>
      <c r="D2212" s="9" t="s">
        <v>7969</v>
      </c>
      <c r="E2212" s="10" t="str">
        <f>HYPERLINK("https://twitter.com/inaki_guerrero/status/1065601375353081856","1065601375353081856")</f>
        <v>1065601375353081856</v>
      </c>
      <c r="F2212" s="11" t="s">
        <v>7970</v>
      </c>
      <c r="G2212" s="11" t="s">
        <v>7971</v>
      </c>
      <c r="H2212" s="12"/>
      <c r="I2212" s="13">
        <v>0</v>
      </c>
      <c r="J2212" s="13">
        <v>1</v>
      </c>
      <c r="K2212" s="14" t="str">
        <f>HYPERLINK("http://twitter.com/download/android","Twitter for Android")</f>
        <v>Twitter for Android</v>
      </c>
      <c r="L2212" s="13">
        <v>626</v>
      </c>
      <c r="M2212" s="13">
        <v>739</v>
      </c>
      <c r="N2212" s="13">
        <v>19</v>
      </c>
      <c r="O2212" s="15"/>
      <c r="P2212" s="6">
        <v>41589.838888888888</v>
      </c>
      <c r="Q2212" s="17" t="s">
        <v>28</v>
      </c>
      <c r="R2212" s="18" t="s">
        <v>7972</v>
      </c>
      <c r="S2212" s="12"/>
      <c r="T2212" s="12"/>
      <c r="U2212" s="10" t="str">
        <f>HYPERLINK("https://pbs.twimg.com/profile_images/1063553710117347328/5AVVbiff.jpg","View")</f>
        <v>View</v>
      </c>
    </row>
    <row r="2213" spans="1:21" ht="20.399999999999999">
      <c r="A2213" s="6">
        <v>43426.612662037034</v>
      </c>
      <c r="B2213" s="7" t="str">
        <f>HYPERLINK("https://twitter.com/NPI_I","@NPI_I")</f>
        <v>@NPI_I</v>
      </c>
      <c r="C2213" s="8" t="s">
        <v>4834</v>
      </c>
      <c r="D2213" s="9" t="s">
        <v>4835</v>
      </c>
      <c r="E2213" s="10" t="str">
        <f>HYPERLINK("https://twitter.com/NPI_I/status/1065601350271156225","1065601350271156225")</f>
        <v>1065601350271156225</v>
      </c>
      <c r="F2213" s="11" t="s">
        <v>7973</v>
      </c>
      <c r="G2213" s="12"/>
      <c r="H2213" s="12"/>
      <c r="I2213" s="13">
        <v>0</v>
      </c>
      <c r="J2213" s="13">
        <v>0</v>
      </c>
      <c r="K2213" s="14" t="str">
        <f>HYPERLINK("http://twitter.com","Twitter Web Client")</f>
        <v>Twitter Web Client</v>
      </c>
      <c r="L2213" s="13">
        <v>108</v>
      </c>
      <c r="M2213" s="13">
        <v>160</v>
      </c>
      <c r="N2213" s="13">
        <v>1</v>
      </c>
      <c r="O2213" s="15"/>
      <c r="P2213" s="6">
        <v>41872.785925925928</v>
      </c>
      <c r="Q2213" s="12"/>
      <c r="R2213" s="18" t="s">
        <v>4837</v>
      </c>
      <c r="S2213" s="12"/>
      <c r="T2213" s="12"/>
      <c r="U2213" s="10" t="str">
        <f>HYPERLINK("https://pbs.twimg.com/profile_images/1040665941980471297/gKBTux_x.jpg","View")</f>
        <v>View</v>
      </c>
    </row>
    <row r="2214" spans="1:21" ht="30.6">
      <c r="A2214" s="6">
        <v>43426.612662037034</v>
      </c>
      <c r="B2214" s="7" t="str">
        <f>HYPERLINK("https://twitter.com/ConlytManuel","@ConlytManuel")</f>
        <v>@ConlytManuel</v>
      </c>
      <c r="C2214" s="8" t="s">
        <v>7974</v>
      </c>
      <c r="D2214" s="9" t="s">
        <v>7975</v>
      </c>
      <c r="E2214" s="10" t="str">
        <f>HYPERLINK("https://twitter.com/ConlytManuel/status/1065601348836749312","1065601348836749312")</f>
        <v>1065601348836749312</v>
      </c>
      <c r="F2214" s="11" t="s">
        <v>7976</v>
      </c>
      <c r="G2214" s="12"/>
      <c r="H2214" s="12"/>
      <c r="I2214" s="13">
        <v>0</v>
      </c>
      <c r="J2214" s="13">
        <v>0</v>
      </c>
      <c r="K2214" s="14" t="str">
        <f>HYPERLINK("https://www.google.com/","Google")</f>
        <v>Google</v>
      </c>
      <c r="L2214" s="13">
        <v>85</v>
      </c>
      <c r="M2214" s="13">
        <v>227</v>
      </c>
      <c r="N2214" s="13">
        <v>4</v>
      </c>
      <c r="O2214" s="15"/>
      <c r="P2214" s="6">
        <v>41421.888657407406</v>
      </c>
      <c r="Q2214" s="17" t="s">
        <v>7977</v>
      </c>
      <c r="R2214" s="18" t="s">
        <v>7978</v>
      </c>
      <c r="S2214" s="11" t="s">
        <v>7979</v>
      </c>
      <c r="T2214" s="12"/>
      <c r="U2214" s="10" t="str">
        <f>HYPERLINK("https://pbs.twimg.com/profile_images/1059364037979451392/ox81rKGq.jpg","View")</f>
        <v>View</v>
      </c>
    </row>
    <row r="2215" spans="1:21" ht="30.6">
      <c r="A2215" s="6">
        <v>43426.61215277778</v>
      </c>
      <c r="B2215" s="7" t="str">
        <f>HYPERLINK("https://twitter.com/IsraCort_","@IsraCort_")</f>
        <v>@IsraCort_</v>
      </c>
      <c r="C2215" s="8" t="s">
        <v>7980</v>
      </c>
      <c r="D2215" s="9" t="s">
        <v>7952</v>
      </c>
      <c r="E2215" s="10" t="str">
        <f>HYPERLINK("https://twitter.com/IsraCort_/status/1065601167298887682","1065601167298887682")</f>
        <v>1065601167298887682</v>
      </c>
      <c r="F2215" s="11" t="s">
        <v>7958</v>
      </c>
      <c r="G2215" s="12"/>
      <c r="H2215" s="12"/>
      <c r="I2215" s="13">
        <v>0</v>
      </c>
      <c r="J2215" s="13">
        <v>0</v>
      </c>
      <c r="K2215" s="14" t="str">
        <f>HYPERLINK("https://ifttt.com","IFTTT")</f>
        <v>IFTTT</v>
      </c>
      <c r="L2215" s="13">
        <v>66</v>
      </c>
      <c r="M2215" s="13">
        <v>68</v>
      </c>
      <c r="N2215" s="13">
        <v>9</v>
      </c>
      <c r="O2215" s="15"/>
      <c r="P2215" s="6">
        <v>41697.438449074078</v>
      </c>
      <c r="Q2215" s="17" t="s">
        <v>7981</v>
      </c>
      <c r="R2215" s="18" t="s">
        <v>7982</v>
      </c>
      <c r="S2215" s="12"/>
      <c r="T2215" s="12"/>
      <c r="U2215" s="10" t="str">
        <f>HYPERLINK("https://pbs.twimg.com/profile_images/522784849182990336/HgCZ7Tmz.jpeg","View")</f>
        <v>View</v>
      </c>
    </row>
    <row r="2216" spans="1:21" ht="20.399999999999999">
      <c r="A2216" s="6">
        <v>43426.611828703702</v>
      </c>
      <c r="B2216" s="7" t="str">
        <f>HYPERLINK("https://twitter.com/AlfredoCRDI","@AlfredoCRDI")</f>
        <v>@AlfredoCRDI</v>
      </c>
      <c r="C2216" s="8" t="s">
        <v>7983</v>
      </c>
      <c r="D2216" s="9" t="s">
        <v>5512</v>
      </c>
      <c r="E2216" s="10" t="str">
        <f>HYPERLINK("https://twitter.com/AlfredoCRDI/status/1065601049426300928","1065601049426300928")</f>
        <v>1065601049426300928</v>
      </c>
      <c r="F2216" s="11" t="s">
        <v>4718</v>
      </c>
      <c r="G2216" s="12"/>
      <c r="H2216" s="12"/>
      <c r="I2216" s="13">
        <v>0</v>
      </c>
      <c r="J2216" s="13">
        <v>0</v>
      </c>
      <c r="K2216" s="14" t="str">
        <f>HYPERLINK("http://twitter.com/#!/download/ipad","Twitter for iPad")</f>
        <v>Twitter for iPad</v>
      </c>
      <c r="L2216" s="13">
        <v>22</v>
      </c>
      <c r="M2216" s="13">
        <v>109</v>
      </c>
      <c r="N2216" s="13">
        <v>0</v>
      </c>
      <c r="O2216" s="15"/>
      <c r="P2216" s="6">
        <v>43399.184699074074</v>
      </c>
      <c r="Q2216" s="12"/>
      <c r="R2216" s="19"/>
      <c r="S2216" s="12"/>
      <c r="T2216" s="12"/>
      <c r="U2216" s="10" t="str">
        <f>HYPERLINK("https://pbs.twimg.com/profile_images/1055647113122586624/8rLpC8np.jpg","View")</f>
        <v>View</v>
      </c>
    </row>
    <row r="2217" spans="1:21" ht="30.6">
      <c r="A2217" s="6">
        <v>43426.611446759256</v>
      </c>
      <c r="B2217" s="7" t="str">
        <f>HYPERLINK("https://twitter.com/cadenagramonte","@cadenagramonte")</f>
        <v>@cadenagramonte</v>
      </c>
      <c r="C2217" s="8" t="s">
        <v>7984</v>
      </c>
      <c r="D2217" s="9" t="s">
        <v>7985</v>
      </c>
      <c r="E2217" s="10" t="str">
        <f>HYPERLINK("https://twitter.com/cadenagramonte/status/1065600908678103040","1065600908678103040")</f>
        <v>1065600908678103040</v>
      </c>
      <c r="F2217" s="11" t="s">
        <v>7986</v>
      </c>
      <c r="G2217" s="12"/>
      <c r="H2217" s="12"/>
      <c r="I2217" s="13">
        <v>2</v>
      </c>
      <c r="J2217" s="13">
        <v>3</v>
      </c>
      <c r="K2217" s="14" t="str">
        <f>HYPERLINK("http://twitter.com","Twitter Web Client")</f>
        <v>Twitter Web Client</v>
      </c>
      <c r="L2217" s="13">
        <v>6685</v>
      </c>
      <c r="M2217" s="13">
        <v>1927</v>
      </c>
      <c r="N2217" s="13">
        <v>120</v>
      </c>
      <c r="O2217" s="15"/>
      <c r="P2217" s="6">
        <v>40217.784166666665</v>
      </c>
      <c r="Q2217" s="17" t="s">
        <v>40</v>
      </c>
      <c r="R2217" s="18" t="s">
        <v>7987</v>
      </c>
      <c r="S2217" s="11" t="s">
        <v>7988</v>
      </c>
      <c r="T2217" s="12"/>
      <c r="U2217" s="10" t="str">
        <f>HYPERLINK("https://pbs.twimg.com/profile_images/1005459395986087937/VfpoWgzg.jpg","View")</f>
        <v>View</v>
      </c>
    </row>
    <row r="2218" spans="1:21" ht="30.6">
      <c r="A2218" s="6">
        <v>43426.611319444448</v>
      </c>
      <c r="B2218" s="7" t="str">
        <f>HYPERLINK("https://twitter.com/Crist1c","@Crist1c")</f>
        <v>@Crist1c</v>
      </c>
      <c r="C2218" s="8" t="s">
        <v>7989</v>
      </c>
      <c r="D2218" s="9" t="s">
        <v>7966</v>
      </c>
      <c r="E2218" s="10" t="str">
        <f>HYPERLINK("https://twitter.com/Crist1c/status/1065600864373616643","1065600864373616643")</f>
        <v>1065600864373616643</v>
      </c>
      <c r="F2218" s="11" t="s">
        <v>7958</v>
      </c>
      <c r="G2218" s="12"/>
      <c r="H2218" s="12"/>
      <c r="I2218" s="13">
        <v>0</v>
      </c>
      <c r="J2218" s="13">
        <v>0</v>
      </c>
      <c r="K2218" s="14" t="str">
        <f>HYPERLINK("https://ifttt.com","IFTTT")</f>
        <v>IFTTT</v>
      </c>
      <c r="L2218" s="13">
        <v>180</v>
      </c>
      <c r="M2218" s="13">
        <v>116</v>
      </c>
      <c r="N2218" s="13">
        <v>2</v>
      </c>
      <c r="O2218" s="15"/>
      <c r="P2218" s="6">
        <v>41695.572604166664</v>
      </c>
      <c r="Q2218" s="17" t="s">
        <v>7967</v>
      </c>
      <c r="R2218" s="19"/>
      <c r="S2218" s="12"/>
      <c r="T2218" s="12"/>
      <c r="U2218" s="10" t="str">
        <f>HYPERLINK("https://pbs.twimg.com/profile_images/514491243263315968/AeBGAHYm.jpeg","View")</f>
        <v>View</v>
      </c>
    </row>
    <row r="2219" spans="1:21" ht="51">
      <c r="A2219" s="6">
        <v>43426.611296296294</v>
      </c>
      <c r="B2219" s="7" t="str">
        <f>HYPERLINK("https://twitter.com/alfredolech","@alfredolech")</f>
        <v>@alfredolech</v>
      </c>
      <c r="C2219" s="8" t="s">
        <v>7990</v>
      </c>
      <c r="D2219" s="9" t="s">
        <v>7991</v>
      </c>
      <c r="E2219" s="10" t="str">
        <f>HYPERLINK("https://twitter.com/alfredolech/status/1065600854621921281","1065600854621921281")</f>
        <v>1065600854621921281</v>
      </c>
      <c r="F2219" s="17" t="s">
        <v>4319</v>
      </c>
      <c r="G2219" s="12"/>
      <c r="H2219" s="12"/>
      <c r="I2219" s="13">
        <v>0</v>
      </c>
      <c r="J2219" s="13">
        <v>0</v>
      </c>
      <c r="K2219" s="14" t="str">
        <f>HYPERLINK("http://twitter.com/download/iphone","Twitter for iPhone")</f>
        <v>Twitter for iPhone</v>
      </c>
      <c r="L2219" s="13">
        <v>780</v>
      </c>
      <c r="M2219" s="13">
        <v>772</v>
      </c>
      <c r="N2219" s="13">
        <v>1</v>
      </c>
      <c r="O2219" s="15"/>
      <c r="P2219" s="6">
        <v>40178.308032407411</v>
      </c>
      <c r="Q2219" s="17" t="s">
        <v>4248</v>
      </c>
      <c r="R2219" s="18" t="s">
        <v>7992</v>
      </c>
      <c r="S2219" s="12"/>
      <c r="T2219" s="12"/>
      <c r="U2219" s="10" t="str">
        <f>HYPERLINK("https://pbs.twimg.com/profile_images/3044151888/b279d3b570dda5e6ea590ffb6c2f67e6.jpeg","View")</f>
        <v>View</v>
      </c>
    </row>
    <row r="2220" spans="1:21" ht="51">
      <c r="A2220" s="6">
        <v>43426.611180555556</v>
      </c>
      <c r="B2220" s="7" t="str">
        <f>HYPERLINK("https://twitter.com/VanguardiaCuba","@VanguardiaCuba")</f>
        <v>@VanguardiaCuba</v>
      </c>
      <c r="C2220" s="8" t="s">
        <v>7945</v>
      </c>
      <c r="D2220" s="9" t="s">
        <v>7993</v>
      </c>
      <c r="E2220" s="10" t="str">
        <f>HYPERLINK("https://twitter.com/VanguardiaCuba/status/1065600814025240576","1065600814025240576")</f>
        <v>1065600814025240576</v>
      </c>
      <c r="F2220" s="12"/>
      <c r="G2220" s="11" t="s">
        <v>7994</v>
      </c>
      <c r="H2220" s="12"/>
      <c r="I2220" s="13">
        <v>1</v>
      </c>
      <c r="J2220" s="13">
        <v>5</v>
      </c>
      <c r="K2220" s="14" t="str">
        <f>HYPERLINK("http://twitter.com","Twitter Web Client")</f>
        <v>Twitter Web Client</v>
      </c>
      <c r="L2220" s="13">
        <v>9277</v>
      </c>
      <c r="M2220" s="13">
        <v>1144</v>
      </c>
      <c r="N2220" s="13">
        <v>167</v>
      </c>
      <c r="O2220" s="15"/>
      <c r="P2220" s="6">
        <v>40094.78224537037</v>
      </c>
      <c r="Q2220" s="17" t="s">
        <v>7120</v>
      </c>
      <c r="R2220" s="18" t="s">
        <v>7948</v>
      </c>
      <c r="S2220" s="11" t="s">
        <v>7949</v>
      </c>
      <c r="T2220" s="12"/>
      <c r="U2220" s="10" t="str">
        <f>HYPERLINK("https://pbs.twimg.com/profile_images/3677883839/def9a7ef3926a4bf117dfdb3c63d61fa.png","View")</f>
        <v>View</v>
      </c>
    </row>
    <row r="2221" spans="1:21" ht="30.6">
      <c r="A2221" s="6">
        <v>43426.610694444447</v>
      </c>
      <c r="B2221" s="7" t="str">
        <f>HYPERLINK("https://twitter.com/MorenoRen3","@MorenoRen3")</f>
        <v>@MorenoRen3</v>
      </c>
      <c r="C2221" s="8" t="s">
        <v>7995</v>
      </c>
      <c r="D2221" s="9" t="s">
        <v>7966</v>
      </c>
      <c r="E2221" s="10" t="str">
        <f>HYPERLINK("https://twitter.com/MorenoRen3/status/1065600638518784000","1065600638518784000")</f>
        <v>1065600638518784000</v>
      </c>
      <c r="F2221" s="11" t="s">
        <v>7958</v>
      </c>
      <c r="G2221" s="12"/>
      <c r="H2221" s="12"/>
      <c r="I2221" s="13">
        <v>0</v>
      </c>
      <c r="J2221" s="13">
        <v>0</v>
      </c>
      <c r="K2221" s="14" t="str">
        <f>HYPERLINK("https://ifttt.com","IFTTT")</f>
        <v>IFTTT</v>
      </c>
      <c r="L2221" s="13">
        <v>133</v>
      </c>
      <c r="M2221" s="13">
        <v>117</v>
      </c>
      <c r="N2221" s="13">
        <v>3</v>
      </c>
      <c r="O2221" s="15"/>
      <c r="P2221" s="6">
        <v>41694.161793981482</v>
      </c>
      <c r="Q2221" s="17" t="s">
        <v>7967</v>
      </c>
      <c r="R2221" s="19"/>
      <c r="S2221" s="12"/>
      <c r="T2221" s="12"/>
      <c r="U2221" s="10" t="str">
        <f>HYPERLINK("https://pbs.twimg.com/profile_images/514530383778422785/PgyCwYJ7.jpeg","View")</f>
        <v>View</v>
      </c>
    </row>
    <row r="2222" spans="1:21" ht="51">
      <c r="A2222" s="6">
        <v>43426.610277777778</v>
      </c>
      <c r="B2222" s="7" t="str">
        <f>HYPERLINK("https://twitter.com/oyd_y","@oyd_y")</f>
        <v>@oyd_y</v>
      </c>
      <c r="C2222" s="8" t="s">
        <v>7996</v>
      </c>
      <c r="D2222" s="9" t="s">
        <v>7997</v>
      </c>
      <c r="E2222" s="10" t="str">
        <f>HYPERLINK("https://twitter.com/oyd_y/status/1065600485678358529","1065600485678358529")</f>
        <v>1065600485678358529</v>
      </c>
      <c r="F2222" s="11" t="s">
        <v>6355</v>
      </c>
      <c r="G2222" s="12"/>
      <c r="H2222" s="12"/>
      <c r="I2222" s="13">
        <v>0</v>
      </c>
      <c r="J2222" s="13">
        <v>0</v>
      </c>
      <c r="K2222" s="14" t="str">
        <f>HYPERLINK("http://twitter.com/#!/download/ipad","Twitter for iPad")</f>
        <v>Twitter for iPad</v>
      </c>
      <c r="L2222" s="13">
        <v>208</v>
      </c>
      <c r="M2222" s="13">
        <v>456</v>
      </c>
      <c r="N2222" s="13">
        <v>5</v>
      </c>
      <c r="O2222" s="15"/>
      <c r="P2222" s="6">
        <v>42931.705555555556</v>
      </c>
      <c r="Q2222" s="17" t="s">
        <v>392</v>
      </c>
      <c r="R2222" s="18" t="s">
        <v>7998</v>
      </c>
      <c r="S2222" s="11" t="s">
        <v>7999</v>
      </c>
      <c r="T2222" s="12"/>
      <c r="U2222" s="10" t="str">
        <f>HYPERLINK("https://pbs.twimg.com/profile_images/990230336578695168/fZqhg4_G.jpg","View")</f>
        <v>View</v>
      </c>
    </row>
    <row r="2223" spans="1:21" ht="51">
      <c r="A2223" s="6">
        <v>43426.609953703708</v>
      </c>
      <c r="B2223" s="7" t="str">
        <f>HYPERLINK("https://twitter.com/FRANJOROES","@FRANJOROES")</f>
        <v>@FRANJOROES</v>
      </c>
      <c r="C2223" s="8" t="s">
        <v>8000</v>
      </c>
      <c r="D2223" s="9" t="s">
        <v>8001</v>
      </c>
      <c r="E2223" s="10" t="str">
        <f>HYPERLINK("https://twitter.com/FRANJOROES/status/1065600367457644545","1065600367457644545")</f>
        <v>1065600367457644545</v>
      </c>
      <c r="F2223" s="12"/>
      <c r="G2223" s="12"/>
      <c r="H2223" s="12"/>
      <c r="I2223" s="13">
        <v>0</v>
      </c>
      <c r="J2223" s="13">
        <v>0</v>
      </c>
      <c r="K2223" s="14" t="str">
        <f t="shared" ref="K2223:K2224" si="361">HYPERLINK("http://twitter.com","Twitter Web Client")</f>
        <v>Twitter Web Client</v>
      </c>
      <c r="L2223" s="13">
        <v>2636</v>
      </c>
      <c r="M2223" s="13">
        <v>2782</v>
      </c>
      <c r="N2223" s="13">
        <v>28</v>
      </c>
      <c r="O2223" s="15"/>
      <c r="P2223" s="6">
        <v>40683.728437500002</v>
      </c>
      <c r="Q2223" s="12"/>
      <c r="R2223" s="18" t="s">
        <v>8002</v>
      </c>
      <c r="S2223" s="11" t="s">
        <v>8003</v>
      </c>
      <c r="T2223" s="12"/>
      <c r="U2223" s="10" t="str">
        <f>HYPERLINK("https://pbs.twimg.com/profile_images/2380142629/i0cwl92hmvjl8nd7frym.png","View")</f>
        <v>View</v>
      </c>
    </row>
    <row r="2224" spans="1:21" ht="40.799999999999997">
      <c r="A2224" s="6">
        <v>43426.609849537039</v>
      </c>
      <c r="B2224" s="7" t="str">
        <f>HYPERLINK("https://twitter.com/encegir","@encegir")</f>
        <v>@encegir</v>
      </c>
      <c r="C2224" s="8" t="s">
        <v>8004</v>
      </c>
      <c r="D2224" s="9" t="s">
        <v>7531</v>
      </c>
      <c r="E2224" s="10" t="str">
        <f>HYPERLINK("https://twitter.com/encegir/status/1065600330015088641","1065600330015088641")</f>
        <v>1065600330015088641</v>
      </c>
      <c r="F2224" s="11" t="s">
        <v>8005</v>
      </c>
      <c r="G2224" s="12"/>
      <c r="H2224" s="12"/>
      <c r="I2224" s="13">
        <v>0</v>
      </c>
      <c r="J2224" s="13">
        <v>0</v>
      </c>
      <c r="K2224" s="14" t="str">
        <f t="shared" si="361"/>
        <v>Twitter Web Client</v>
      </c>
      <c r="L2224" s="13">
        <v>654</v>
      </c>
      <c r="M2224" s="13">
        <v>1024</v>
      </c>
      <c r="N2224" s="13">
        <v>5</v>
      </c>
      <c r="O2224" s="15"/>
      <c r="P2224" s="6">
        <v>40780.016458333332</v>
      </c>
      <c r="Q2224" s="17" t="s">
        <v>28</v>
      </c>
      <c r="R2224" s="18" t="s">
        <v>8006</v>
      </c>
      <c r="S2224" s="12"/>
      <c r="T2224" s="12"/>
      <c r="U2224" s="10" t="str">
        <f>HYPERLINK("https://pbs.twimg.com/profile_images/1055233107476078592/AcVFY8ec.jpg","View")</f>
        <v>View</v>
      </c>
    </row>
    <row r="2225" spans="1:21" ht="40.799999999999997">
      <c r="A2225" s="6">
        <v>43426.608784722222</v>
      </c>
      <c r="B2225" s="7" t="str">
        <f>HYPERLINK("https://twitter.com/podemos_dolores","@podemos_dolores")</f>
        <v>@podemos_dolores</v>
      </c>
      <c r="C2225" s="8" t="s">
        <v>8007</v>
      </c>
      <c r="D2225" s="9" t="s">
        <v>8008</v>
      </c>
      <c r="E2225" s="10" t="str">
        <f>HYPERLINK("https://twitter.com/podemos_dolores/status/1065599943900049409","1065599943900049409")</f>
        <v>1065599943900049409</v>
      </c>
      <c r="F2225" s="11" t="s">
        <v>8009</v>
      </c>
      <c r="G2225" s="12"/>
      <c r="H2225" s="12"/>
      <c r="I2225" s="13">
        <v>0</v>
      </c>
      <c r="J2225" s="13">
        <v>0</v>
      </c>
      <c r="K2225" s="14" t="str">
        <f>HYPERLINK("http://www.facebook.com/twitter","Facebook")</f>
        <v>Facebook</v>
      </c>
      <c r="L2225" s="13">
        <v>266</v>
      </c>
      <c r="M2225" s="13">
        <v>405</v>
      </c>
      <c r="N2225" s="13">
        <v>11</v>
      </c>
      <c r="O2225" s="15"/>
      <c r="P2225" s="6">
        <v>41889.865648148145</v>
      </c>
      <c r="Q2225" s="17" t="s">
        <v>8010</v>
      </c>
      <c r="R2225" s="18" t="s">
        <v>8011</v>
      </c>
      <c r="S2225" s="12"/>
      <c r="T2225" s="12"/>
      <c r="U2225" s="10" t="str">
        <f>HYPERLINK("https://pbs.twimg.com/profile_images/902823341429465089/tje-Rkcl.jpg","View")</f>
        <v>View</v>
      </c>
    </row>
    <row r="2226" spans="1:21" ht="30.6">
      <c r="A2226" s="6">
        <v>43426.608530092592</v>
      </c>
      <c r="B2226" s="7" t="str">
        <f>HYPERLINK("https://twitter.com/juangimeno1969","@juangimeno1969")</f>
        <v>@juangimeno1969</v>
      </c>
      <c r="C2226" s="8" t="s">
        <v>8012</v>
      </c>
      <c r="D2226" s="9" t="s">
        <v>8013</v>
      </c>
      <c r="E2226" s="10" t="str">
        <f>HYPERLINK("https://twitter.com/juangimeno1969/status/1065599853294772225","1065599853294772225")</f>
        <v>1065599853294772225</v>
      </c>
      <c r="F2226" s="11" t="s">
        <v>8014</v>
      </c>
      <c r="G2226" s="11" t="s">
        <v>8015</v>
      </c>
      <c r="H2226" s="12"/>
      <c r="I2226" s="13">
        <v>1</v>
      </c>
      <c r="J2226" s="13">
        <v>4</v>
      </c>
      <c r="K2226" s="14" t="str">
        <f>HYPERLINK("http://twitter.com/download/iphone","Twitter for iPhone")</f>
        <v>Twitter for iPhone</v>
      </c>
      <c r="L2226" s="13">
        <v>1483</v>
      </c>
      <c r="M2226" s="13">
        <v>2884</v>
      </c>
      <c r="N2226" s="13">
        <v>5</v>
      </c>
      <c r="O2226" s="15"/>
      <c r="P2226" s="6">
        <v>42001.94222222222</v>
      </c>
      <c r="Q2226" s="17" t="s">
        <v>8016</v>
      </c>
      <c r="R2226" s="18" t="s">
        <v>8017</v>
      </c>
      <c r="S2226" s="12"/>
      <c r="T2226" s="12"/>
      <c r="U2226" s="10" t="str">
        <f>HYPERLINK("https://pbs.twimg.com/profile_images/1048650324066672641/3sCpLpvW.jpg","View")</f>
        <v>View</v>
      </c>
    </row>
    <row r="2227" spans="1:21" ht="40.799999999999997">
      <c r="A2227" s="6">
        <v>43426.60670138889</v>
      </c>
      <c r="B2227" s="7" t="str">
        <f>HYPERLINK("https://twitter.com/AntonioLglam","@AntonioLglam")</f>
        <v>@AntonioLglam</v>
      </c>
      <c r="C2227" s="8" t="s">
        <v>8018</v>
      </c>
      <c r="D2227" s="9" t="s">
        <v>4527</v>
      </c>
      <c r="E2227" s="10" t="str">
        <f>HYPERLINK("https://twitter.com/AntonioLglam/status/1065599190930202624","1065599190930202624")</f>
        <v>1065599190930202624</v>
      </c>
      <c r="F2227" s="11" t="s">
        <v>8019</v>
      </c>
      <c r="G2227" s="12"/>
      <c r="H2227" s="12"/>
      <c r="I2227" s="13">
        <v>0</v>
      </c>
      <c r="J2227" s="13">
        <v>0</v>
      </c>
      <c r="K2227" s="14" t="str">
        <f>HYPERLINK("http://twitter.com","Twitter Web Client")</f>
        <v>Twitter Web Client</v>
      </c>
      <c r="L2227" s="13">
        <v>370</v>
      </c>
      <c r="M2227" s="13">
        <v>3948</v>
      </c>
      <c r="N2227" s="13">
        <v>8</v>
      </c>
      <c r="O2227" s="15"/>
      <c r="P2227" s="6">
        <v>41702.803090277775</v>
      </c>
      <c r="Q2227" s="12"/>
      <c r="R2227" s="18" t="s">
        <v>8020</v>
      </c>
      <c r="S2227" s="12"/>
      <c r="T2227" s="12"/>
      <c r="U2227" s="10" t="str">
        <f>HYPERLINK("https://pbs.twimg.com/profile_images/459281568041684993/Y548YB2Q.jpeg","View")</f>
        <v>View</v>
      </c>
    </row>
    <row r="2228" spans="1:21" ht="40.799999999999997">
      <c r="A2228" s="6">
        <v>43426.606354166666</v>
      </c>
      <c r="B2228" s="7" t="str">
        <f>HYPERLINK("https://twitter.com/Joufast","@Joufast")</f>
        <v>@Joufast</v>
      </c>
      <c r="C2228" s="8" t="s">
        <v>8021</v>
      </c>
      <c r="D2228" s="9" t="s">
        <v>8022</v>
      </c>
      <c r="E2228" s="10" t="str">
        <f>HYPERLINK("https://twitter.com/Joufast/status/1065599065025581058","1065599065025581058")</f>
        <v>1065599065025581058</v>
      </c>
      <c r="F2228" s="12"/>
      <c r="G2228" s="12"/>
      <c r="H2228" s="12"/>
      <c r="I2228" s="13">
        <v>0</v>
      </c>
      <c r="J2228" s="13">
        <v>0</v>
      </c>
      <c r="K2228" s="14" t="str">
        <f>HYPERLINK("http://twitter.com/download/android","Twitter for Android")</f>
        <v>Twitter for Android</v>
      </c>
      <c r="L2228" s="13">
        <v>185</v>
      </c>
      <c r="M2228" s="13">
        <v>392</v>
      </c>
      <c r="N2228" s="13">
        <v>3</v>
      </c>
      <c r="O2228" s="15"/>
      <c r="P2228" s="6">
        <v>41123.999953703707</v>
      </c>
      <c r="Q2228" s="12"/>
      <c r="R2228" s="18" t="s">
        <v>8023</v>
      </c>
      <c r="S2228" s="12"/>
      <c r="T2228" s="12"/>
      <c r="U2228" s="10" t="str">
        <f>HYPERLINK("https://pbs.twimg.com/profile_images/993414718554550274/ypF2jy2t.jpg","View")</f>
        <v>View</v>
      </c>
    </row>
    <row r="2229" spans="1:21" ht="30.6">
      <c r="A2229" s="6">
        <v>43426.606157407412</v>
      </c>
      <c r="B2229" s="7" t="str">
        <f>HYPERLINK("https://twitter.com/EAMORENOURIBE","@EAMORENOURIBE")</f>
        <v>@EAMORENOURIBE</v>
      </c>
      <c r="C2229" s="8" t="s">
        <v>8024</v>
      </c>
      <c r="D2229" s="9" t="s">
        <v>5335</v>
      </c>
      <c r="E2229" s="10" t="str">
        <f>HYPERLINK("https://twitter.com/EAMORENOURIBE/status/1065598993831469058","1065598993831469058")</f>
        <v>1065598993831469058</v>
      </c>
      <c r="F2229" s="11" t="s">
        <v>4718</v>
      </c>
      <c r="G2229" s="12"/>
      <c r="H2229" s="12"/>
      <c r="I2229" s="13">
        <v>0</v>
      </c>
      <c r="J2229" s="13">
        <v>0</v>
      </c>
      <c r="K2229" s="14" t="str">
        <f t="shared" ref="K2229:K2230" si="362">HYPERLINK("http://twitter.com","Twitter Web Client")</f>
        <v>Twitter Web Client</v>
      </c>
      <c r="L2229" s="13">
        <v>12165</v>
      </c>
      <c r="M2229" s="13">
        <v>13382</v>
      </c>
      <c r="N2229" s="13">
        <v>95</v>
      </c>
      <c r="O2229" s="15"/>
      <c r="P2229" s="6">
        <v>40209.748148148152</v>
      </c>
      <c r="Q2229" s="17" t="s">
        <v>8025</v>
      </c>
      <c r="R2229" s="18" t="s">
        <v>8026</v>
      </c>
      <c r="S2229" s="11" t="s">
        <v>8027</v>
      </c>
      <c r="T2229" s="12"/>
      <c r="U2229" s="10" t="str">
        <f>HYPERLINK("https://pbs.twimg.com/profile_images/459054315991101440/LJGGsF_4.jpeg","View")</f>
        <v>View</v>
      </c>
    </row>
    <row r="2230" spans="1:21" ht="51">
      <c r="A2230" s="6">
        <v>43426.605312500003</v>
      </c>
      <c r="B2230" s="7" t="str">
        <f>HYPERLINK("https://twitter.com/misskilauea","@misskilauea")</f>
        <v>@misskilauea</v>
      </c>
      <c r="C2230" s="8" t="s">
        <v>5007</v>
      </c>
      <c r="D2230" s="9" t="s">
        <v>8028</v>
      </c>
      <c r="E2230" s="10" t="str">
        <f>HYPERLINK("https://twitter.com/misskilauea/status/1065598687643140096","1065598687643140096")</f>
        <v>1065598687643140096</v>
      </c>
      <c r="F2230" s="12"/>
      <c r="G2230" s="12"/>
      <c r="H2230" s="12"/>
      <c r="I2230" s="13">
        <v>0</v>
      </c>
      <c r="J2230" s="13">
        <v>8</v>
      </c>
      <c r="K2230" s="14" t="str">
        <f t="shared" si="362"/>
        <v>Twitter Web Client</v>
      </c>
      <c r="L2230" s="13">
        <v>1083</v>
      </c>
      <c r="M2230" s="13">
        <v>271</v>
      </c>
      <c r="N2230" s="13">
        <v>8</v>
      </c>
      <c r="O2230" s="15"/>
      <c r="P2230" s="6">
        <v>43410.55268518519</v>
      </c>
      <c r="Q2230" s="12"/>
      <c r="R2230" s="18" t="s">
        <v>5009</v>
      </c>
      <c r="S2230" s="12"/>
      <c r="T2230" s="12"/>
      <c r="U2230" s="10" t="str">
        <f>HYPERLINK("https://pbs.twimg.com/profile_images/1060854888803000320/UuQpJqB5.jpg","View")</f>
        <v>View</v>
      </c>
    </row>
    <row r="2231" spans="1:21" ht="40.799999999999997">
      <c r="A2231" s="6">
        <v>43426.605254629627</v>
      </c>
      <c r="B2231" s="7" t="str">
        <f>HYPERLINK("https://twitter.com/slaymultimedios","@slaymultimedios")</f>
        <v>@slaymultimedios</v>
      </c>
      <c r="C2231" s="8" t="s">
        <v>562</v>
      </c>
      <c r="D2231" s="9" t="s">
        <v>8029</v>
      </c>
      <c r="E2231" s="10" t="str">
        <f>HYPERLINK("https://twitter.com/slaymultimedios/status/1065598666772307968","1065598666772307968")</f>
        <v>1065598666772307968</v>
      </c>
      <c r="F2231" s="11" t="s">
        <v>8030</v>
      </c>
      <c r="G2231" s="12"/>
      <c r="H2231" s="12"/>
      <c r="I2231" s="13">
        <v>0</v>
      </c>
      <c r="J2231" s="13">
        <v>0</v>
      </c>
      <c r="K2231" s="14" t="str">
        <f>HYPERLINK("http://www.slaymultimedios.com","WebSiteSlayMultimedios")</f>
        <v>WebSiteSlayMultimedios</v>
      </c>
      <c r="L2231" s="13">
        <v>41749</v>
      </c>
      <c r="M2231" s="13">
        <v>178</v>
      </c>
      <c r="N2231" s="13">
        <v>410</v>
      </c>
      <c r="O2231" s="15"/>
      <c r="P2231" s="6">
        <v>40209.93105324074</v>
      </c>
      <c r="Q2231" s="17" t="s">
        <v>565</v>
      </c>
      <c r="R2231" s="18" t="s">
        <v>566</v>
      </c>
      <c r="S2231" s="11" t="s">
        <v>567</v>
      </c>
      <c r="T2231" s="12"/>
      <c r="U2231" s="10" t="str">
        <f>HYPERLINK("https://pbs.twimg.com/profile_images/714690465916817408/1NXaiuED.jpg","View")</f>
        <v>View</v>
      </c>
    </row>
    <row r="2232" spans="1:21" ht="30.6">
      <c r="A2232" s="6">
        <v>43426.605127314819</v>
      </c>
      <c r="B2232" s="7" t="str">
        <f>HYPERLINK("https://twitter.com/NuriaRecheTello","@NuriaRecheTello")</f>
        <v>@NuriaRecheTello</v>
      </c>
      <c r="C2232" s="8" t="s">
        <v>8031</v>
      </c>
      <c r="D2232" s="9" t="s">
        <v>8032</v>
      </c>
      <c r="E2232" s="10" t="str">
        <f>HYPERLINK("https://twitter.com/NuriaRecheTello/status/1065598621574471681","1065598621574471681")</f>
        <v>1065598621574471681</v>
      </c>
      <c r="F2232" s="11" t="s">
        <v>2691</v>
      </c>
      <c r="G2232" s="12"/>
      <c r="H2232" s="12"/>
      <c r="I2232" s="13">
        <v>0</v>
      </c>
      <c r="J2232" s="13">
        <v>2</v>
      </c>
      <c r="K2232" s="14" t="str">
        <f t="shared" ref="K2232:K2233" si="363">HYPERLINK("http://twitter.com","Twitter Web Client")</f>
        <v>Twitter Web Client</v>
      </c>
      <c r="L2232" s="13">
        <v>103</v>
      </c>
      <c r="M2232" s="13">
        <v>398</v>
      </c>
      <c r="N2232" s="13">
        <v>2</v>
      </c>
      <c r="O2232" s="15"/>
      <c r="P2232" s="6">
        <v>42034.443692129629</v>
      </c>
      <c r="Q2232" s="17" t="s">
        <v>2270</v>
      </c>
      <c r="R2232" s="19"/>
      <c r="S2232" s="12"/>
      <c r="T2232" s="12"/>
      <c r="U2232" s="10" t="str">
        <f>HYPERLINK("https://pbs.twimg.com/profile_images/679384614603984896/rhBtqJjW.jpg","View")</f>
        <v>View</v>
      </c>
    </row>
    <row r="2233" spans="1:21" ht="30.6">
      <c r="A2233" s="6">
        <v>43426.604872685188</v>
      </c>
      <c r="B2233" s="7" t="str">
        <f>HYPERLINK("https://twitter.com/demevilla","@demevilla")</f>
        <v>@demevilla</v>
      </c>
      <c r="C2233" s="8" t="s">
        <v>8033</v>
      </c>
      <c r="D2233" s="9" t="s">
        <v>8034</v>
      </c>
      <c r="E2233" s="10" t="str">
        <f>HYPERLINK("https://twitter.com/demevilla/status/1065598525990477824","1065598525990477824")</f>
        <v>1065598525990477824</v>
      </c>
      <c r="F2233" s="12"/>
      <c r="G2233" s="12"/>
      <c r="H2233" s="12"/>
      <c r="I2233" s="13">
        <v>0</v>
      </c>
      <c r="J2233" s="13">
        <v>0</v>
      </c>
      <c r="K2233" s="14" t="str">
        <f t="shared" si="363"/>
        <v>Twitter Web Client</v>
      </c>
      <c r="L2233" s="13">
        <v>71</v>
      </c>
      <c r="M2233" s="13">
        <v>91</v>
      </c>
      <c r="N2233" s="13">
        <v>1</v>
      </c>
      <c r="O2233" s="15"/>
      <c r="P2233" s="6">
        <v>43036.60802083333</v>
      </c>
      <c r="Q2233" s="12"/>
      <c r="R2233" s="19"/>
      <c r="S2233" s="12"/>
      <c r="T2233" s="12"/>
      <c r="U2233" s="10" t="str">
        <f>HYPERLINK("https://pbs.twimg.com/profile_images/1010691586802442242/hFtoBr69.jpg","View")</f>
        <v>View</v>
      </c>
    </row>
    <row r="2234" spans="1:21" ht="20.399999999999999">
      <c r="A2234" s="6">
        <v>43426.604629629626</v>
      </c>
      <c r="B2234" s="7" t="str">
        <f>HYPERLINK("https://twitter.com/NDtitulares","@NDtitulares")</f>
        <v>@NDtitulares</v>
      </c>
      <c r="C2234" s="8" t="s">
        <v>4166</v>
      </c>
      <c r="D2234" s="9" t="s">
        <v>8035</v>
      </c>
      <c r="E2234" s="10" t="str">
        <f>HYPERLINK("https://twitter.com/NDtitulares/status/1065598440674025478","1065598440674025478")</f>
        <v>1065598440674025478</v>
      </c>
      <c r="F2234" s="11" t="s">
        <v>8036</v>
      </c>
      <c r="G2234" s="11" t="s">
        <v>8037</v>
      </c>
      <c r="H2234" s="12"/>
      <c r="I2234" s="13">
        <v>1</v>
      </c>
      <c r="J2234" s="13">
        <v>0</v>
      </c>
      <c r="K2234" s="14" t="str">
        <f>HYPERLINK("http://www.noticierodigital.com","PublicarTuitsDesdeWP")</f>
        <v>PublicarTuitsDesdeWP</v>
      </c>
      <c r="L2234" s="13">
        <v>717211</v>
      </c>
      <c r="M2234" s="13">
        <v>1611</v>
      </c>
      <c r="N2234" s="13">
        <v>3756</v>
      </c>
      <c r="O2234" s="15"/>
      <c r="P2234" s="6">
        <v>39930.715879629628</v>
      </c>
      <c r="Q2234" s="17" t="s">
        <v>104</v>
      </c>
      <c r="R2234" s="18" t="s">
        <v>4167</v>
      </c>
      <c r="S2234" s="11" t="s">
        <v>4168</v>
      </c>
      <c r="T2234" s="12"/>
      <c r="U2234" s="10" t="str">
        <f>HYPERLINK("https://pbs.twimg.com/profile_images/875451743815053313/Xr2jDG9I.jpg","View")</f>
        <v>View</v>
      </c>
    </row>
    <row r="2235" spans="1:21" ht="51">
      <c r="A2235" s="6">
        <v>43426.604583333334</v>
      </c>
      <c r="B2235" s="7" t="str">
        <f>HYPERLINK("https://twitter.com/Golpealos","@Golpealos")</f>
        <v>@Golpealos</v>
      </c>
      <c r="C2235" s="8" t="s">
        <v>8038</v>
      </c>
      <c r="D2235" s="9" t="s">
        <v>8039</v>
      </c>
      <c r="E2235" s="10" t="str">
        <f>HYPERLINK("https://twitter.com/Golpealos/status/1065598421288058881","1065598421288058881")</f>
        <v>1065598421288058881</v>
      </c>
      <c r="F2235" s="12"/>
      <c r="G2235" s="11" t="s">
        <v>4607</v>
      </c>
      <c r="H2235" s="12"/>
      <c r="I2235" s="13">
        <v>226</v>
      </c>
      <c r="J2235" s="13">
        <v>55</v>
      </c>
      <c r="K2235" s="14" t="str">
        <f>HYPERLINK("http://twitter.com/download/android","Twitter for Android")</f>
        <v>Twitter for Android</v>
      </c>
      <c r="L2235" s="13">
        <v>11808</v>
      </c>
      <c r="M2235" s="13">
        <v>8751</v>
      </c>
      <c r="N2235" s="13">
        <v>52</v>
      </c>
      <c r="O2235" s="15"/>
      <c r="P2235" s="6">
        <v>42344.775590277779</v>
      </c>
      <c r="Q2235" s="17" t="s">
        <v>8040</v>
      </c>
      <c r="R2235" s="18" t="s">
        <v>8041</v>
      </c>
      <c r="S2235" s="11" t="s">
        <v>8042</v>
      </c>
      <c r="T2235" s="12"/>
      <c r="U2235" s="10" t="str">
        <f>HYPERLINK("https://pbs.twimg.com/profile_images/673568720485277696/0_XCtIhD.jpg","View")</f>
        <v>View</v>
      </c>
    </row>
    <row r="2236" spans="1:21" ht="30.6">
      <c r="A2236" s="6">
        <v>43426.604166666672</v>
      </c>
      <c r="B2236" s="7" t="str">
        <f>HYPERLINK("https://twitter.com/trabajadorescu","@trabajadorescu")</f>
        <v>@trabajadorescu</v>
      </c>
      <c r="C2236" s="20" t="s">
        <v>1203</v>
      </c>
      <c r="D2236" s="9" t="s">
        <v>8043</v>
      </c>
      <c r="E2236" s="10" t="str">
        <f>HYPERLINK("https://twitter.com/trabajadorescu/status/1065598271379382272","1065598271379382272")</f>
        <v>1065598271379382272</v>
      </c>
      <c r="F2236" s="12"/>
      <c r="G2236" s="11" t="s">
        <v>8044</v>
      </c>
      <c r="H2236" s="12"/>
      <c r="I2236" s="13">
        <v>3</v>
      </c>
      <c r="J2236" s="13">
        <v>3</v>
      </c>
      <c r="K2236" s="14" t="str">
        <f>HYPERLINK("https://about.twitter.com/products/tweetdeck","TweetDeck")</f>
        <v>TweetDeck</v>
      </c>
      <c r="L2236" s="13">
        <v>9838</v>
      </c>
      <c r="M2236" s="13">
        <v>272</v>
      </c>
      <c r="N2236" s="13">
        <v>151</v>
      </c>
      <c r="O2236" s="15"/>
      <c r="P2236" s="6">
        <v>40304.712233796294</v>
      </c>
      <c r="Q2236" s="17" t="s">
        <v>52</v>
      </c>
      <c r="R2236" s="18" t="s">
        <v>1206</v>
      </c>
      <c r="S2236" s="11" t="s">
        <v>1207</v>
      </c>
      <c r="T2236" s="12"/>
      <c r="U2236" s="10" t="str">
        <f>HYPERLINK("https://pbs.twimg.com/profile_images/986694080213037056/J0pt8JjI.jpg","View")</f>
        <v>View</v>
      </c>
    </row>
    <row r="2237" spans="1:21" ht="51">
      <c r="A2237" s="6">
        <v>43426.603819444441</v>
      </c>
      <c r="B2237" s="7" t="str">
        <f>HYPERLINK("https://twitter.com/slaymultimedios","@slaymultimedios")</f>
        <v>@slaymultimedios</v>
      </c>
      <c r="C2237" s="8" t="s">
        <v>562</v>
      </c>
      <c r="D2237" s="9" t="s">
        <v>8045</v>
      </c>
      <c r="E2237" s="10" t="str">
        <f>HYPERLINK("https://twitter.com/slaymultimedios/status/1065598146091323392","1065598146091323392")</f>
        <v>1065598146091323392</v>
      </c>
      <c r="F2237" s="11" t="s">
        <v>8046</v>
      </c>
      <c r="G2237" s="12"/>
      <c r="H2237" s="12"/>
      <c r="I2237" s="13">
        <v>0</v>
      </c>
      <c r="J2237" s="13">
        <v>0</v>
      </c>
      <c r="K2237" s="14" t="str">
        <f>HYPERLINK("http://www.slaymultimedios.com","WebSiteSlayMultimedios")</f>
        <v>WebSiteSlayMultimedios</v>
      </c>
      <c r="L2237" s="13">
        <v>41749</v>
      </c>
      <c r="M2237" s="13">
        <v>178</v>
      </c>
      <c r="N2237" s="13">
        <v>410</v>
      </c>
      <c r="O2237" s="15"/>
      <c r="P2237" s="6">
        <v>40209.93105324074</v>
      </c>
      <c r="Q2237" s="17" t="s">
        <v>565</v>
      </c>
      <c r="R2237" s="18" t="s">
        <v>566</v>
      </c>
      <c r="S2237" s="11" t="s">
        <v>567</v>
      </c>
      <c r="T2237" s="12"/>
      <c r="U2237" s="10" t="str">
        <f>HYPERLINK("https://pbs.twimg.com/profile_images/714690465916817408/1NXaiuED.jpg","View")</f>
        <v>View</v>
      </c>
    </row>
    <row r="2238" spans="1:21" ht="40.799999999999997">
      <c r="A2238" s="6">
        <v>43426.603587962964</v>
      </c>
      <c r="B2238" s="7" t="str">
        <f>HYPERLINK("https://twitter.com/jorgebayamo","@jorgebayamo")</f>
        <v>@jorgebayamo</v>
      </c>
      <c r="C2238" s="8" t="s">
        <v>8047</v>
      </c>
      <c r="D2238" s="9" t="s">
        <v>4377</v>
      </c>
      <c r="E2238" s="10" t="str">
        <f>HYPERLINK("https://twitter.com/jorgebayamo/status/1065598060934455297","1065598060934455297")</f>
        <v>1065598060934455297</v>
      </c>
      <c r="F2238" s="11" t="s">
        <v>4378</v>
      </c>
      <c r="G2238" s="12"/>
      <c r="H2238" s="12"/>
      <c r="I2238" s="13">
        <v>0</v>
      </c>
      <c r="J2238" s="13">
        <v>0</v>
      </c>
      <c r="K2238" s="14" t="str">
        <f t="shared" ref="K2238:K2239" si="364">HYPERLINK("http://twitter.com","Twitter Web Client")</f>
        <v>Twitter Web Client</v>
      </c>
      <c r="L2238" s="13">
        <v>13681</v>
      </c>
      <c r="M2238" s="13">
        <v>15011</v>
      </c>
      <c r="N2238" s="13">
        <v>62</v>
      </c>
      <c r="O2238" s="15"/>
      <c r="P2238" s="6">
        <v>40302.191886574074</v>
      </c>
      <c r="Q2238" s="17" t="s">
        <v>8048</v>
      </c>
      <c r="R2238" s="18" t="s">
        <v>8049</v>
      </c>
      <c r="S2238" s="11" t="s">
        <v>8050</v>
      </c>
      <c r="T2238" s="12"/>
      <c r="U2238" s="10" t="str">
        <f>HYPERLINK("https://pbs.twimg.com/profile_images/922166968471339009/ncftlacH.jpg","View")</f>
        <v>View</v>
      </c>
    </row>
    <row r="2239" spans="1:21" ht="40.799999999999997">
      <c r="A2239" s="6">
        <v>43426.603576388894</v>
      </c>
      <c r="B2239" s="7" t="str">
        <f>HYPERLINK("https://twitter.com/Fn_noticias","@Fn_noticias")</f>
        <v>@Fn_noticias</v>
      </c>
      <c r="C2239" s="8" t="s">
        <v>8051</v>
      </c>
      <c r="D2239" s="9" t="s">
        <v>8052</v>
      </c>
      <c r="E2239" s="10" t="str">
        <f>HYPERLINK("https://twitter.com/Fn_noticias/status/1065598058468188161","1065598058468188161")</f>
        <v>1065598058468188161</v>
      </c>
      <c r="F2239" s="11" t="s">
        <v>8053</v>
      </c>
      <c r="G2239" s="12"/>
      <c r="H2239" s="12"/>
      <c r="I2239" s="13">
        <v>0</v>
      </c>
      <c r="J2239" s="13">
        <v>1</v>
      </c>
      <c r="K2239" s="14" t="str">
        <f t="shared" si="364"/>
        <v>Twitter Web Client</v>
      </c>
      <c r="L2239" s="13">
        <v>3986</v>
      </c>
      <c r="M2239" s="13">
        <v>1135</v>
      </c>
      <c r="N2239" s="13">
        <v>45</v>
      </c>
      <c r="O2239" s="15"/>
      <c r="P2239" s="6">
        <v>41138.004340277781</v>
      </c>
      <c r="Q2239" s="17" t="s">
        <v>8054</v>
      </c>
      <c r="R2239" s="18" t="s">
        <v>8055</v>
      </c>
      <c r="S2239" s="11" t="s">
        <v>8056</v>
      </c>
      <c r="T2239" s="12"/>
      <c r="U2239" s="10" t="str">
        <f>HYPERLINK("https://pbs.twimg.com/profile_images/2728907326/d04dc277e757872e0f9d53531badd5e2.png","View")</f>
        <v>View</v>
      </c>
    </row>
    <row r="2240" spans="1:21" ht="40.799999999999997">
      <c r="A2240" s="6">
        <v>43426.603483796294</v>
      </c>
      <c r="B2240" s="7" t="str">
        <f>HYPERLINK("https://twitter.com/astridportero","@astridportero")</f>
        <v>@astridportero</v>
      </c>
      <c r="C2240" s="8" t="s">
        <v>8057</v>
      </c>
      <c r="D2240" s="9" t="s">
        <v>8058</v>
      </c>
      <c r="E2240" s="10" t="str">
        <f>HYPERLINK("https://twitter.com/astridportero/status/1065598025479962624","1065598025479962624")</f>
        <v>1065598025479962624</v>
      </c>
      <c r="F2240" s="12"/>
      <c r="G2240" s="12"/>
      <c r="H2240" s="12"/>
      <c r="I2240" s="13">
        <v>0</v>
      </c>
      <c r="J2240" s="13">
        <v>4</v>
      </c>
      <c r="K2240" s="14" t="str">
        <f>HYPERLINK("http://twitter.com/download/iphone","Twitter for iPhone")</f>
        <v>Twitter for iPhone</v>
      </c>
      <c r="L2240" s="13">
        <v>1222</v>
      </c>
      <c r="M2240" s="13">
        <v>1274</v>
      </c>
      <c r="N2240" s="13">
        <v>42</v>
      </c>
      <c r="O2240" s="15"/>
      <c r="P2240" s="6">
        <v>39227.626736111109</v>
      </c>
      <c r="Q2240" s="17" t="s">
        <v>8059</v>
      </c>
      <c r="R2240" s="18" t="s">
        <v>8060</v>
      </c>
      <c r="S2240" s="11" t="s">
        <v>8061</v>
      </c>
      <c r="T2240" s="12"/>
      <c r="U2240" s="10" t="str">
        <f>HYPERLINK("https://pbs.twimg.com/profile_images/1009331875389804544/7kZRKzRP.jpg","View")</f>
        <v>View</v>
      </c>
    </row>
    <row r="2241" spans="1:21" ht="13.2">
      <c r="A2241" s="6">
        <v>43426.6012962963</v>
      </c>
      <c r="B2241" s="7" t="str">
        <f>HYPERLINK("https://twitter.com/pacoperez","@pacoperez")</f>
        <v>@pacoperez</v>
      </c>
      <c r="C2241" s="8" t="s">
        <v>6032</v>
      </c>
      <c r="D2241" s="9" t="s">
        <v>8062</v>
      </c>
      <c r="E2241" s="10" t="str">
        <f>HYPERLINK("https://twitter.com/pacoperez/status/1065597233574354945","1065597233574354945")</f>
        <v>1065597233574354945</v>
      </c>
      <c r="F2241" s="11" t="s">
        <v>2092</v>
      </c>
      <c r="G2241" s="12"/>
      <c r="H2241" s="12"/>
      <c r="I2241" s="13">
        <v>0</v>
      </c>
      <c r="J2241" s="13">
        <v>0</v>
      </c>
      <c r="K2241" s="14" t="str">
        <f>HYPERLINK("http://www.facebook.com/twitter","Facebook")</f>
        <v>Facebook</v>
      </c>
      <c r="L2241" s="13">
        <v>586</v>
      </c>
      <c r="M2241" s="13">
        <v>480</v>
      </c>
      <c r="N2241" s="13">
        <v>15</v>
      </c>
      <c r="O2241" s="15"/>
      <c r="P2241" s="6">
        <v>39822.945127314815</v>
      </c>
      <c r="Q2241" s="17" t="s">
        <v>8063</v>
      </c>
      <c r="R2241" s="18" t="s">
        <v>8064</v>
      </c>
      <c r="S2241" s="11" t="s">
        <v>8065</v>
      </c>
      <c r="T2241" s="12"/>
      <c r="U2241" s="10" t="str">
        <f>HYPERLINK("https://pbs.twimg.com/profile_images/885413050114863104/ND54BUST.jpg","View")</f>
        <v>View</v>
      </c>
    </row>
    <row r="2242" spans="1:21" ht="61.2">
      <c r="A2242" s="6">
        <v>43426.600694444445</v>
      </c>
      <c r="B2242" s="7" t="str">
        <f>HYPERLINK("https://twitter.com/LaPastira","@LaPastira")</f>
        <v>@LaPastira</v>
      </c>
      <c r="C2242" s="8" t="s">
        <v>8066</v>
      </c>
      <c r="D2242" s="9" t="s">
        <v>8067</v>
      </c>
      <c r="E2242" s="10" t="str">
        <f>HYPERLINK("https://twitter.com/LaPastira/status/1065597012609880065","1065597012609880065")</f>
        <v>1065597012609880065</v>
      </c>
      <c r="F2242" s="12"/>
      <c r="G2242" s="11" t="s">
        <v>8068</v>
      </c>
      <c r="H2242" s="12"/>
      <c r="I2242" s="13">
        <v>0</v>
      </c>
      <c r="J2242" s="13">
        <v>1</v>
      </c>
      <c r="K2242" s="14" t="str">
        <f t="shared" ref="K2242:K2243" si="365">HYPERLINK("https://about.twitter.com/products/tweetdeck","TweetDeck")</f>
        <v>TweetDeck</v>
      </c>
      <c r="L2242" s="13">
        <v>214</v>
      </c>
      <c r="M2242" s="13">
        <v>118</v>
      </c>
      <c r="N2242" s="13">
        <v>10</v>
      </c>
      <c r="O2242" s="15"/>
      <c r="P2242" s="6">
        <v>41883.369050925925</v>
      </c>
      <c r="Q2242" s="17" t="s">
        <v>1960</v>
      </c>
      <c r="R2242" s="18" t="s">
        <v>8069</v>
      </c>
      <c r="S2242" s="11" t="s">
        <v>8070</v>
      </c>
      <c r="T2242" s="12"/>
      <c r="U2242" s="10" t="str">
        <f>HYPERLINK("https://pbs.twimg.com/profile_images/552772124310401025/t_zU_wRX.jpeg","View")</f>
        <v>View</v>
      </c>
    </row>
    <row r="2243" spans="1:21" ht="20.399999999999999">
      <c r="A2243" s="6">
        <v>43426.598611111112</v>
      </c>
      <c r="B2243" s="7" t="str">
        <f>HYPERLINK("https://twitter.com/bolsamania","@bolsamania")</f>
        <v>@bolsamania</v>
      </c>
      <c r="C2243" s="8" t="s">
        <v>8071</v>
      </c>
      <c r="D2243" s="9" t="s">
        <v>8072</v>
      </c>
      <c r="E2243" s="10" t="str">
        <f>HYPERLINK("https://twitter.com/bolsamania/status/1065596257874386945","1065596257874386945")</f>
        <v>1065596257874386945</v>
      </c>
      <c r="F2243" s="11" t="s">
        <v>8073</v>
      </c>
      <c r="G2243" s="12"/>
      <c r="H2243" s="12"/>
      <c r="I2243" s="13">
        <v>0</v>
      </c>
      <c r="J2243" s="13">
        <v>0</v>
      </c>
      <c r="K2243" s="14" t="str">
        <f t="shared" si="365"/>
        <v>TweetDeck</v>
      </c>
      <c r="L2243" s="13">
        <v>39963</v>
      </c>
      <c r="M2243" s="13">
        <v>387</v>
      </c>
      <c r="N2243" s="13">
        <v>1490</v>
      </c>
      <c r="O2243" s="16" t="s">
        <v>26</v>
      </c>
      <c r="P2243" s="6">
        <v>40023.9996412037</v>
      </c>
      <c r="Q2243" s="17" t="s">
        <v>72</v>
      </c>
      <c r="R2243" s="18" t="s">
        <v>8074</v>
      </c>
      <c r="S2243" s="11" t="s">
        <v>8075</v>
      </c>
      <c r="T2243" s="12"/>
      <c r="U2243" s="10" t="str">
        <f>HYPERLINK("https://pbs.twimg.com/profile_images/875625319259971585/-BMlE8xr.jpg","View")</f>
        <v>View</v>
      </c>
    </row>
    <row r="2244" spans="1:21" ht="51">
      <c r="A2244" s="6">
        <v>43426.598263888889</v>
      </c>
      <c r="B2244" s="7" t="str">
        <f>HYPERLINK("https://twitter.com/nnggcalahorra","@nnggcalahorra")</f>
        <v>@nnggcalahorra</v>
      </c>
      <c r="C2244" s="8" t="s">
        <v>8076</v>
      </c>
      <c r="D2244" s="9" t="s">
        <v>8077</v>
      </c>
      <c r="E2244" s="10" t="str">
        <f>HYPERLINK("https://twitter.com/nnggcalahorra/status/1065596133492359168","1065596133492359168")</f>
        <v>1065596133492359168</v>
      </c>
      <c r="F2244" s="11" t="s">
        <v>8078</v>
      </c>
      <c r="G2244" s="12"/>
      <c r="H2244" s="12"/>
      <c r="I2244" s="13">
        <v>0</v>
      </c>
      <c r="J2244" s="13">
        <v>0</v>
      </c>
      <c r="K2244" s="14" t="str">
        <f>HYPERLINK("http://www.facebook.com/twitter","Facebook")</f>
        <v>Facebook</v>
      </c>
      <c r="L2244" s="13">
        <v>256</v>
      </c>
      <c r="M2244" s="13">
        <v>253</v>
      </c>
      <c r="N2244" s="13">
        <v>6</v>
      </c>
      <c r="O2244" s="15"/>
      <c r="P2244" s="6">
        <v>41602.405324074076</v>
      </c>
      <c r="Q2244" s="17" t="s">
        <v>8079</v>
      </c>
      <c r="R2244" s="18" t="s">
        <v>8080</v>
      </c>
      <c r="S2244" s="11" t="s">
        <v>8081</v>
      </c>
      <c r="T2244" s="12"/>
      <c r="U2244" s="10" t="str">
        <f>HYPERLINK("https://pbs.twimg.com/profile_images/917766110795255808/EKcgWEuT.jpg","View")</f>
        <v>View</v>
      </c>
    </row>
    <row r="2245" spans="1:21" ht="51">
      <c r="A2245" s="6">
        <v>43426.597939814819</v>
      </c>
      <c r="B2245" s="7" t="str">
        <f>HYPERLINK("https://twitter.com/BarrachinaM","@BarrachinaM")</f>
        <v>@BarrachinaM</v>
      </c>
      <c r="C2245" s="8" t="s">
        <v>8082</v>
      </c>
      <c r="D2245" s="9" t="s">
        <v>8083</v>
      </c>
      <c r="E2245" s="10" t="str">
        <f>HYPERLINK("https://twitter.com/BarrachinaM/status/1065596016991309825","1065596016991309825")</f>
        <v>1065596016991309825</v>
      </c>
      <c r="F2245" s="12"/>
      <c r="G2245" s="11" t="s">
        <v>8084</v>
      </c>
      <c r="H2245" s="12"/>
      <c r="I2245" s="13">
        <v>12</v>
      </c>
      <c r="J2245" s="13">
        <v>20</v>
      </c>
      <c r="K2245" s="14" t="str">
        <f>HYPERLINK("http://twitter.com/download/iphone","Twitter for iPhone")</f>
        <v>Twitter for iPhone</v>
      </c>
      <c r="L2245" s="13">
        <v>5939</v>
      </c>
      <c r="M2245" s="13">
        <v>2001</v>
      </c>
      <c r="N2245" s="13">
        <v>101</v>
      </c>
      <c r="O2245" s="16" t="s">
        <v>26</v>
      </c>
      <c r="P2245" s="6">
        <v>41325.43681712963</v>
      </c>
      <c r="Q2245" s="17" t="s">
        <v>8085</v>
      </c>
      <c r="R2245" s="18" t="s">
        <v>8086</v>
      </c>
      <c r="S2245" s="11" t="s">
        <v>8087</v>
      </c>
      <c r="T2245" s="12"/>
      <c r="U2245" s="10" t="str">
        <f>HYPERLINK("https://pbs.twimg.com/profile_images/1045291661545394178/gLjZfxaT.jpg","View")</f>
        <v>View</v>
      </c>
    </row>
    <row r="2246" spans="1:21" ht="20.399999999999999">
      <c r="A2246" s="6">
        <v>43426.596956018519</v>
      </c>
      <c r="B2246" s="7" t="str">
        <f>HYPERLINK("https://twitter.com/kantinu","@kantinu")</f>
        <v>@kantinu</v>
      </c>
      <c r="C2246" s="8" t="s">
        <v>8088</v>
      </c>
      <c r="D2246" s="9" t="s">
        <v>8089</v>
      </c>
      <c r="E2246" s="10" t="str">
        <f>HYPERLINK("https://twitter.com/kantinu/status/1065595659934474240","1065595659934474240")</f>
        <v>1065595659934474240</v>
      </c>
      <c r="F2246" s="12"/>
      <c r="G2246" s="12"/>
      <c r="H2246" s="12"/>
      <c r="I2246" s="13">
        <v>0</v>
      </c>
      <c r="J2246" s="13">
        <v>5</v>
      </c>
      <c r="K2246" s="14" t="str">
        <f>HYPERLINK("http://twitter.com/#!/download/ipad","Twitter for iPad")</f>
        <v>Twitter for iPad</v>
      </c>
      <c r="L2246" s="13">
        <v>21549</v>
      </c>
      <c r="M2246" s="13">
        <v>282</v>
      </c>
      <c r="N2246" s="13">
        <v>552</v>
      </c>
      <c r="O2246" s="15"/>
      <c r="P2246" s="6">
        <v>40026.744398148148</v>
      </c>
      <c r="Q2246" s="17" t="s">
        <v>8090</v>
      </c>
      <c r="R2246" s="18" t="s">
        <v>8091</v>
      </c>
      <c r="S2246" s="11" t="s">
        <v>8092</v>
      </c>
      <c r="T2246" s="12"/>
      <c r="U2246" s="10" t="str">
        <f>HYPERLINK("https://pbs.twimg.com/profile_images/1057200913503395840/ubi03A3x.jpg","View")</f>
        <v>View</v>
      </c>
    </row>
    <row r="2247" spans="1:21" ht="40.799999999999997">
      <c r="A2247" s="6">
        <v>43426.596516203703</v>
      </c>
      <c r="B2247" s="7" t="str">
        <f>HYPERLINK("https://twitter.com/MartaGlezVzqz","@MartaGlezVzqz")</f>
        <v>@MartaGlezVzqz</v>
      </c>
      <c r="C2247" s="8" t="s">
        <v>8093</v>
      </c>
      <c r="D2247" s="9" t="s">
        <v>8094</v>
      </c>
      <c r="E2247" s="10" t="str">
        <f>HYPERLINK("https://twitter.com/MartaGlezVzqz/status/1065595498793508865","1065595498793508865")</f>
        <v>1065595498793508865</v>
      </c>
      <c r="F2247" s="11" t="s">
        <v>8095</v>
      </c>
      <c r="G2247" s="12"/>
      <c r="H2247" s="12"/>
      <c r="I2247" s="13">
        <v>6</v>
      </c>
      <c r="J2247" s="13">
        <v>5</v>
      </c>
      <c r="K2247" s="14" t="str">
        <f t="shared" ref="K2247:K2250" si="366">HYPERLINK("http://twitter.com","Twitter Web Client")</f>
        <v>Twitter Web Client</v>
      </c>
      <c r="L2247" s="13">
        <v>4515</v>
      </c>
      <c r="M2247" s="13">
        <v>1244</v>
      </c>
      <c r="N2247" s="13">
        <v>85</v>
      </c>
      <c r="O2247" s="16" t="s">
        <v>26</v>
      </c>
      <c r="P2247" s="6">
        <v>42239.663298611107</v>
      </c>
      <c r="Q2247" s="17" t="s">
        <v>2477</v>
      </c>
      <c r="R2247" s="18" t="s">
        <v>8096</v>
      </c>
      <c r="S2247" s="11" t="s">
        <v>8097</v>
      </c>
      <c r="T2247" s="12"/>
      <c r="U2247" s="10" t="str">
        <f>HYPERLINK("https://pbs.twimg.com/profile_images/1053410070489427968/A2Do-hb1.jpg","View")</f>
        <v>View</v>
      </c>
    </row>
    <row r="2248" spans="1:21" ht="81.599999999999994">
      <c r="A2248" s="6">
        <v>43426.59575231481</v>
      </c>
      <c r="B2248" s="7" t="str">
        <f>HYPERLINK("https://twitter.com/RSYnestrillas","@RSYnestrillas")</f>
        <v>@RSYnestrillas</v>
      </c>
      <c r="C2248" s="8" t="s">
        <v>8098</v>
      </c>
      <c r="D2248" s="9" t="s">
        <v>8099</v>
      </c>
      <c r="E2248" s="10" t="str">
        <f>HYPERLINK("https://twitter.com/RSYnestrillas/status/1065595223634522113","1065595223634522113")</f>
        <v>1065595223634522113</v>
      </c>
      <c r="F2248" s="17" t="s">
        <v>8100</v>
      </c>
      <c r="G2248" s="12"/>
      <c r="H2248" s="12"/>
      <c r="I2248" s="13">
        <v>0</v>
      </c>
      <c r="J2248" s="13">
        <v>0</v>
      </c>
      <c r="K2248" s="14" t="str">
        <f t="shared" si="366"/>
        <v>Twitter Web Client</v>
      </c>
      <c r="L2248" s="13">
        <v>1358</v>
      </c>
      <c r="M2248" s="13">
        <v>1256</v>
      </c>
      <c r="N2248" s="13">
        <v>30</v>
      </c>
      <c r="O2248" s="15"/>
      <c r="P2248" s="6">
        <v>40812.889976851853</v>
      </c>
      <c r="Q2248" s="17" t="s">
        <v>28</v>
      </c>
      <c r="R2248" s="18" t="s">
        <v>8101</v>
      </c>
      <c r="S2248" s="11" t="s">
        <v>8102</v>
      </c>
      <c r="T2248" s="12"/>
      <c r="U2248" s="10" t="str">
        <f>HYPERLINK("https://pbs.twimg.com/profile_images/1047200836588396544/l6BKjdCE.jpg","View")</f>
        <v>View</v>
      </c>
    </row>
    <row r="2249" spans="1:21" ht="40.799999999999997">
      <c r="A2249" s="6">
        <v>43426.595601851848</v>
      </c>
      <c r="B2249" s="7" t="str">
        <f>HYPERLINK("https://twitter.com/davidgonzal123","@davidgonzal123")</f>
        <v>@davidgonzal123</v>
      </c>
      <c r="C2249" s="8" t="s">
        <v>8103</v>
      </c>
      <c r="D2249" s="9" t="s">
        <v>8104</v>
      </c>
      <c r="E2249" s="10" t="str">
        <f>HYPERLINK("https://twitter.com/davidgonzal123/status/1065595169091792898","1065595169091792898")</f>
        <v>1065595169091792898</v>
      </c>
      <c r="F2249" s="12"/>
      <c r="G2249" s="12"/>
      <c r="H2249" s="12"/>
      <c r="I2249" s="13">
        <v>0</v>
      </c>
      <c r="J2249" s="13">
        <v>0</v>
      </c>
      <c r="K2249" s="14" t="str">
        <f t="shared" si="366"/>
        <v>Twitter Web Client</v>
      </c>
      <c r="L2249" s="13">
        <v>938</v>
      </c>
      <c r="M2249" s="13">
        <v>1007</v>
      </c>
      <c r="N2249" s="13">
        <v>13</v>
      </c>
      <c r="O2249" s="15"/>
      <c r="P2249" s="6">
        <v>40688.547060185185</v>
      </c>
      <c r="Q2249" s="17" t="s">
        <v>8105</v>
      </c>
      <c r="R2249" s="18" t="s">
        <v>8106</v>
      </c>
      <c r="S2249" s="12"/>
      <c r="T2249" s="12"/>
      <c r="U2249" s="10" t="str">
        <f>HYPERLINK("https://pbs.twimg.com/profile_images/2724784749/b235fb9539f774627056fbfdf235704f.jpeg","View")</f>
        <v>View</v>
      </c>
    </row>
    <row r="2250" spans="1:21" ht="20.399999999999999">
      <c r="A2250" s="6">
        <v>43426.595520833333</v>
      </c>
      <c r="B2250" s="7" t="str">
        <f>HYPERLINK("https://twitter.com/CarlosAMontaner","@CarlosAMontaner")</f>
        <v>@CarlosAMontaner</v>
      </c>
      <c r="C2250" s="8" t="s">
        <v>8107</v>
      </c>
      <c r="D2250" s="9" t="s">
        <v>8108</v>
      </c>
      <c r="E2250" s="10" t="str">
        <f>HYPERLINK("https://twitter.com/CarlosAMontaner/status/1065595140352475136","1065595140352475136")</f>
        <v>1065595140352475136</v>
      </c>
      <c r="F2250" s="11" t="s">
        <v>8109</v>
      </c>
      <c r="G2250" s="12"/>
      <c r="H2250" s="12"/>
      <c r="I2250" s="13">
        <v>146</v>
      </c>
      <c r="J2250" s="13">
        <v>48</v>
      </c>
      <c r="K2250" s="14" t="str">
        <f t="shared" si="366"/>
        <v>Twitter Web Client</v>
      </c>
      <c r="L2250" s="13">
        <v>86123</v>
      </c>
      <c r="M2250" s="13">
        <v>1806</v>
      </c>
      <c r="N2250" s="13">
        <v>726</v>
      </c>
      <c r="O2250" s="15"/>
      <c r="P2250" s="6">
        <v>41299.154548611114</v>
      </c>
      <c r="Q2250" s="12"/>
      <c r="R2250" s="18" t="s">
        <v>8110</v>
      </c>
      <c r="S2250" s="12"/>
      <c r="T2250" s="12"/>
      <c r="U2250" s="10" t="str">
        <f>HYPERLINK("https://pbs.twimg.com/profile_images/464487651332984832/0CMfhPWW.jpeg","View")</f>
        <v>View</v>
      </c>
    </row>
    <row r="2251" spans="1:21" ht="51">
      <c r="A2251" s="6">
        <v>43426.595289351855</v>
      </c>
      <c r="B2251" s="7" t="str">
        <f>HYPERLINK("https://twitter.com/Demarichel","@Demarichel")</f>
        <v>@Demarichel</v>
      </c>
      <c r="C2251" s="8" t="s">
        <v>8111</v>
      </c>
      <c r="D2251" s="9" t="s">
        <v>8112</v>
      </c>
      <c r="E2251" s="10" t="str">
        <f>HYPERLINK("https://twitter.com/Demarichel/status/1065595055929532417","1065595055929532417")</f>
        <v>1065595055929532417</v>
      </c>
      <c r="F2251" s="12"/>
      <c r="G2251" s="12"/>
      <c r="H2251" s="12"/>
      <c r="I2251" s="13">
        <v>0</v>
      </c>
      <c r="J2251" s="13">
        <v>0</v>
      </c>
      <c r="K2251" s="14" t="str">
        <f>HYPERLINK("https://mobile.twitter.com","Twitter Lite")</f>
        <v>Twitter Lite</v>
      </c>
      <c r="L2251" s="13">
        <v>6</v>
      </c>
      <c r="M2251" s="13">
        <v>5</v>
      </c>
      <c r="N2251" s="13">
        <v>0</v>
      </c>
      <c r="O2251" s="15"/>
      <c r="P2251" s="6">
        <v>41241.454247685186</v>
      </c>
      <c r="Q2251" s="12"/>
      <c r="R2251" s="19"/>
      <c r="S2251" s="12"/>
      <c r="T2251" s="12"/>
      <c r="U2251" s="10" t="str">
        <f>HYPERLINK("https://pbs.twimg.com/profile_images/2930444441/0b8ac1347b75fd1f92ae7d9a8c492a0f.jpeg","View")</f>
        <v>View</v>
      </c>
    </row>
    <row r="2252" spans="1:21" ht="91.8">
      <c r="A2252" s="6">
        <v>43426.594953703709</v>
      </c>
      <c r="B2252" s="7" t="str">
        <f>HYPERLINK("https://twitter.com/LuisValcar","@LuisValcar")</f>
        <v>@LuisValcar</v>
      </c>
      <c r="C2252" s="8" t="s">
        <v>8113</v>
      </c>
      <c r="D2252" s="9" t="s">
        <v>8114</v>
      </c>
      <c r="E2252" s="10" t="str">
        <f>HYPERLINK("https://twitter.com/LuisValcar/status/1065594932973510657","1065594932973510657")</f>
        <v>1065594932973510657</v>
      </c>
      <c r="F2252" s="11" t="s">
        <v>8115</v>
      </c>
      <c r="G2252" s="11" t="s">
        <v>8116</v>
      </c>
      <c r="H2252" s="12"/>
      <c r="I2252" s="13">
        <v>0</v>
      </c>
      <c r="J2252" s="13">
        <v>0</v>
      </c>
      <c r="K2252" s="14" t="str">
        <f>HYPERLINK("http://twitter.com","Twitter Web Client")</f>
        <v>Twitter Web Client</v>
      </c>
      <c r="L2252" s="13">
        <v>2076</v>
      </c>
      <c r="M2252" s="13">
        <v>2789</v>
      </c>
      <c r="N2252" s="13">
        <v>44</v>
      </c>
      <c r="O2252" s="15"/>
      <c r="P2252" s="6">
        <v>40260.544062499997</v>
      </c>
      <c r="Q2252" s="17" t="s">
        <v>368</v>
      </c>
      <c r="R2252" s="18" t="s">
        <v>8117</v>
      </c>
      <c r="S2252" s="12"/>
      <c r="T2252" s="12"/>
      <c r="U2252" s="10" t="str">
        <f>HYPERLINK("https://pbs.twimg.com/profile_images/940933932379406337/SELwrwLz.jpg","View")</f>
        <v>View</v>
      </c>
    </row>
    <row r="2253" spans="1:21" ht="30.6">
      <c r="A2253" s="6">
        <v>43426.594930555555</v>
      </c>
      <c r="B2253" s="7" t="str">
        <f>HYPERLINK("https://twitter.com/KaAngomol","@KaAngomol")</f>
        <v>@KaAngomol</v>
      </c>
      <c r="C2253" s="8" t="s">
        <v>8118</v>
      </c>
      <c r="D2253" s="9" t="s">
        <v>8119</v>
      </c>
      <c r="E2253" s="10" t="str">
        <f>HYPERLINK("https://twitter.com/KaAngomol/status/1065594926015098880","1065594926015098880")</f>
        <v>1065594926015098880</v>
      </c>
      <c r="F2253" s="12"/>
      <c r="G2253" s="12"/>
      <c r="H2253" s="12"/>
      <c r="I2253" s="13">
        <v>0</v>
      </c>
      <c r="J2253" s="13">
        <v>0</v>
      </c>
      <c r="K2253" s="14" t="str">
        <f>HYPERLINK("https://mobile.twitter.com","Twitter Lite")</f>
        <v>Twitter Lite</v>
      </c>
      <c r="L2253" s="13">
        <v>291</v>
      </c>
      <c r="M2253" s="13">
        <v>675</v>
      </c>
      <c r="N2253" s="13">
        <v>3</v>
      </c>
      <c r="O2253" s="15"/>
      <c r="P2253" s="6">
        <v>41162.509155092594</v>
      </c>
      <c r="Q2253" s="17" t="s">
        <v>8120</v>
      </c>
      <c r="R2253" s="18" t="s">
        <v>8121</v>
      </c>
      <c r="S2253" s="12"/>
      <c r="T2253" s="12"/>
      <c r="U2253" s="10" t="str">
        <f>HYPERLINK("https://pbs.twimg.com/profile_images/2595622130/image.jpg","View")</f>
        <v>View</v>
      </c>
    </row>
    <row r="2254" spans="1:21" ht="30.6">
      <c r="A2254" s="6">
        <v>43426.594895833332</v>
      </c>
      <c r="B2254" s="7" t="str">
        <f>HYPERLINK("https://twitter.com/ManzanoCr","@ManzanoCr")</f>
        <v>@ManzanoCr</v>
      </c>
      <c r="C2254" s="8" t="s">
        <v>8122</v>
      </c>
      <c r="D2254" s="9" t="s">
        <v>8123</v>
      </c>
      <c r="E2254" s="10" t="str">
        <f>HYPERLINK("https://twitter.com/ManzanoCr/status/1065594913323134976","1065594913323134976")</f>
        <v>1065594913323134976</v>
      </c>
      <c r="F2254" s="11" t="s">
        <v>8124</v>
      </c>
      <c r="G2254" s="12"/>
      <c r="H2254" s="12"/>
      <c r="I2254" s="13">
        <v>3</v>
      </c>
      <c r="J2254" s="13">
        <v>4</v>
      </c>
      <c r="K2254" s="14" t="str">
        <f t="shared" ref="K2254:K2256" si="367">HYPERLINK("http://twitter.com","Twitter Web Client")</f>
        <v>Twitter Web Client</v>
      </c>
      <c r="L2254" s="13">
        <v>4695</v>
      </c>
      <c r="M2254" s="13">
        <v>924</v>
      </c>
      <c r="N2254" s="13">
        <v>309</v>
      </c>
      <c r="O2254" s="15"/>
      <c r="P2254" s="6">
        <v>40969.900393518517</v>
      </c>
      <c r="Q2254" s="12"/>
      <c r="R2254" s="18" t="s">
        <v>8125</v>
      </c>
      <c r="S2254" s="11" t="s">
        <v>8126</v>
      </c>
      <c r="T2254" s="12"/>
      <c r="U2254" s="10" t="str">
        <f>HYPERLINK("https://pbs.twimg.com/profile_images/1865560115/cristina_1jpg.jpg","View")</f>
        <v>View</v>
      </c>
    </row>
    <row r="2255" spans="1:21" ht="20.399999999999999">
      <c r="A2255" s="6">
        <v>43426.594548611116</v>
      </c>
      <c r="B2255" s="7" t="str">
        <f>HYPERLINK("https://twitter.com/tartesiano","@tartesiano")</f>
        <v>@tartesiano</v>
      </c>
      <c r="C2255" s="8" t="s">
        <v>8127</v>
      </c>
      <c r="D2255" s="9" t="s">
        <v>8128</v>
      </c>
      <c r="E2255" s="10" t="str">
        <f>HYPERLINK("https://twitter.com/tartesiano/status/1065594786248359938","1065594786248359938")</f>
        <v>1065594786248359938</v>
      </c>
      <c r="F2255" s="11" t="s">
        <v>8129</v>
      </c>
      <c r="G2255" s="12"/>
      <c r="H2255" s="12"/>
      <c r="I2255" s="13">
        <v>0</v>
      </c>
      <c r="J2255" s="13">
        <v>0</v>
      </c>
      <c r="K2255" s="14" t="str">
        <f t="shared" si="367"/>
        <v>Twitter Web Client</v>
      </c>
      <c r="L2255" s="13">
        <v>86</v>
      </c>
      <c r="M2255" s="13">
        <v>153</v>
      </c>
      <c r="N2255" s="13">
        <v>0</v>
      </c>
      <c r="O2255" s="15"/>
      <c r="P2255" s="6">
        <v>40881.920266203706</v>
      </c>
      <c r="Q2255" s="17" t="s">
        <v>878</v>
      </c>
      <c r="R2255" s="18" t="s">
        <v>8130</v>
      </c>
      <c r="S2255" s="12"/>
      <c r="T2255" s="12"/>
      <c r="U2255" s="10" t="str">
        <f>HYPERLINK("https://pbs.twimg.com/profile_images/992023638936379392/ID06gJHb.jpg","View")</f>
        <v>View</v>
      </c>
    </row>
    <row r="2256" spans="1:21" ht="51">
      <c r="A2256" s="6">
        <v>43426.593425925923</v>
      </c>
      <c r="B2256" s="7" t="str">
        <f>HYPERLINK("https://twitter.com/GrupoPSOEMurcia","@GrupoPSOEMurcia")</f>
        <v>@GrupoPSOEMurcia</v>
      </c>
      <c r="C2256" s="8" t="s">
        <v>8131</v>
      </c>
      <c r="D2256" s="9" t="s">
        <v>8132</v>
      </c>
      <c r="E2256" s="10" t="str">
        <f>HYPERLINK("https://twitter.com/GrupoPSOEMurcia/status/1065594379807662081","1065594379807662081")</f>
        <v>1065594379807662081</v>
      </c>
      <c r="F2256" s="11" t="s">
        <v>8133</v>
      </c>
      <c r="G2256" s="12"/>
      <c r="H2256" s="12"/>
      <c r="I2256" s="13">
        <v>5</v>
      </c>
      <c r="J2256" s="13">
        <v>10</v>
      </c>
      <c r="K2256" s="14" t="str">
        <f t="shared" si="367"/>
        <v>Twitter Web Client</v>
      </c>
      <c r="L2256" s="13">
        <v>2976</v>
      </c>
      <c r="M2256" s="13">
        <v>1073</v>
      </c>
      <c r="N2256" s="13">
        <v>60</v>
      </c>
      <c r="O2256" s="15"/>
      <c r="P2256" s="6">
        <v>40919.587858796294</v>
      </c>
      <c r="Q2256" s="17" t="s">
        <v>3507</v>
      </c>
      <c r="R2256" s="18" t="s">
        <v>8134</v>
      </c>
      <c r="S2256" s="11" t="s">
        <v>8135</v>
      </c>
      <c r="T2256" s="12"/>
      <c r="U2256" s="10" t="str">
        <f>HYPERLINK("https://pbs.twimg.com/profile_images/1054271120143196160/M49ekx4i.jpg","View")</f>
        <v>View</v>
      </c>
    </row>
    <row r="2257" spans="1:21" ht="30.6">
      <c r="A2257" s="6">
        <v>43426.593275462961</v>
      </c>
      <c r="B2257" s="7" t="str">
        <f>HYPERLINK("https://twitter.com/pallaron12","@pallaron12")</f>
        <v>@pallaron12</v>
      </c>
      <c r="C2257" s="8" t="s">
        <v>2284</v>
      </c>
      <c r="D2257" s="9" t="s">
        <v>5073</v>
      </c>
      <c r="E2257" s="10" t="str">
        <f>HYPERLINK("https://twitter.com/pallaron12/status/1065594326506450944","1065594326506450944")</f>
        <v>1065594326506450944</v>
      </c>
      <c r="F2257" s="11" t="s">
        <v>607</v>
      </c>
      <c r="G2257" s="12"/>
      <c r="H2257" s="12"/>
      <c r="I2257" s="13">
        <v>0</v>
      </c>
      <c r="J2257" s="13">
        <v>0</v>
      </c>
      <c r="K2257" s="14" t="str">
        <f>HYPERLINK("http://twitter.com/download/android","Twitter for Android")</f>
        <v>Twitter for Android</v>
      </c>
      <c r="L2257" s="13">
        <v>1412</v>
      </c>
      <c r="M2257" s="13">
        <v>501</v>
      </c>
      <c r="N2257" s="13">
        <v>8</v>
      </c>
      <c r="O2257" s="15"/>
      <c r="P2257" s="6">
        <v>41854.66134259259</v>
      </c>
      <c r="Q2257" s="17" t="s">
        <v>2285</v>
      </c>
      <c r="R2257" s="18" t="s">
        <v>2286</v>
      </c>
      <c r="S2257" s="12"/>
      <c r="T2257" s="12"/>
      <c r="U2257" s="10" t="str">
        <f>HYPERLINK("https://pbs.twimg.com/profile_images/1064713832633896961/NkwZ7D9D.jpg","View")</f>
        <v>View</v>
      </c>
    </row>
    <row r="2258" spans="1:21" ht="30.6">
      <c r="A2258" s="6">
        <v>43426.593043981484</v>
      </c>
      <c r="B2258" s="7" t="str">
        <f>HYPERLINK("https://twitter.com/elobrerodigital","@elobrerodigital")</f>
        <v>@elobrerodigital</v>
      </c>
      <c r="C2258" s="8" t="s">
        <v>8136</v>
      </c>
      <c r="D2258" s="9" t="s">
        <v>8137</v>
      </c>
      <c r="E2258" s="10" t="str">
        <f>HYPERLINK("https://twitter.com/elobrerodigital/status/1065594240036728833","1065594240036728833")</f>
        <v>1065594240036728833</v>
      </c>
      <c r="F2258" s="17" t="s">
        <v>8138</v>
      </c>
      <c r="G2258" s="12"/>
      <c r="H2258" s="12"/>
      <c r="I2258" s="13">
        <v>0</v>
      </c>
      <c r="J2258" s="13">
        <v>0</v>
      </c>
      <c r="K2258" s="14" t="str">
        <f>HYPERLINK("http://twitter.com","Twitter Web Client")</f>
        <v>Twitter Web Client</v>
      </c>
      <c r="L2258" s="13">
        <v>12970</v>
      </c>
      <c r="M2258" s="13">
        <v>4450</v>
      </c>
      <c r="N2258" s="13">
        <v>280</v>
      </c>
      <c r="O2258" s="15"/>
      <c r="P2258" s="6">
        <v>40987.503252314811</v>
      </c>
      <c r="Q2258" s="17" t="s">
        <v>28</v>
      </c>
      <c r="R2258" s="18" t="s">
        <v>8139</v>
      </c>
      <c r="S2258" s="11" t="s">
        <v>8140</v>
      </c>
      <c r="T2258" s="12"/>
      <c r="U2258" s="10" t="str">
        <f>HYPERLINK("https://pbs.twimg.com/profile_images/1060999968465604609/WRSwoqij.jpg","View")</f>
        <v>View</v>
      </c>
    </row>
    <row r="2259" spans="1:21" ht="51">
      <c r="A2259" s="6">
        <v>43426.593043981484</v>
      </c>
      <c r="B2259" s="7" t="str">
        <f>HYPERLINK("https://twitter.com/Alicia63502264","@Alicia63502264")</f>
        <v>@Alicia63502264</v>
      </c>
      <c r="C2259" s="8" t="s">
        <v>7377</v>
      </c>
      <c r="D2259" s="9" t="s">
        <v>7378</v>
      </c>
      <c r="E2259" s="10" t="str">
        <f>HYPERLINK("https://twitter.com/Alicia63502264/status/1065594239332114433","1065594239332114433")</f>
        <v>1065594239332114433</v>
      </c>
      <c r="F2259" s="11" t="s">
        <v>7379</v>
      </c>
      <c r="G2259" s="12"/>
      <c r="H2259" s="12"/>
      <c r="I2259" s="13">
        <v>1</v>
      </c>
      <c r="J2259" s="13">
        <v>0</v>
      </c>
      <c r="K2259" s="14" t="str">
        <f>HYPERLINK("http://twitter.com/download/android","Twitter for Android")</f>
        <v>Twitter for Android</v>
      </c>
      <c r="L2259" s="13">
        <v>1688</v>
      </c>
      <c r="M2259" s="13">
        <v>1918</v>
      </c>
      <c r="N2259" s="13">
        <v>3</v>
      </c>
      <c r="O2259" s="15"/>
      <c r="P2259" s="6">
        <v>43252.58079861111</v>
      </c>
      <c r="Q2259" s="12"/>
      <c r="R2259" s="18" t="s">
        <v>7382</v>
      </c>
      <c r="S2259" s="12"/>
      <c r="T2259" s="12"/>
      <c r="U2259" s="10" t="str">
        <f>HYPERLINK("https://pbs.twimg.com/profile_images/1054515004769255424/71MpVha3.jpg","View")</f>
        <v>View</v>
      </c>
    </row>
    <row r="2260" spans="1:21" ht="40.799999999999997">
      <c r="A2260" s="6">
        <v>43426.591446759259</v>
      </c>
      <c r="B2260" s="7" t="str">
        <f>HYPERLINK("https://twitter.com/PPAsamblea","@PPAsamblea")</f>
        <v>@PPAsamblea</v>
      </c>
      <c r="C2260" s="8" t="s">
        <v>8141</v>
      </c>
      <c r="D2260" s="9" t="s">
        <v>8142</v>
      </c>
      <c r="E2260" s="10" t="str">
        <f>HYPERLINK("https://twitter.com/PPAsamblea/status/1065593661336027136","1065593661336027136")</f>
        <v>1065593661336027136</v>
      </c>
      <c r="F2260" s="11" t="s">
        <v>8143</v>
      </c>
      <c r="G2260" s="11" t="s">
        <v>8144</v>
      </c>
      <c r="H2260" s="12"/>
      <c r="I2260" s="13">
        <v>17</v>
      </c>
      <c r="J2260" s="13">
        <v>24</v>
      </c>
      <c r="K2260" s="14" t="str">
        <f>HYPERLINK("http://twitter.com","Twitter Web Client")</f>
        <v>Twitter Web Client</v>
      </c>
      <c r="L2260" s="13">
        <v>17034</v>
      </c>
      <c r="M2260" s="13">
        <v>2336</v>
      </c>
      <c r="N2260" s="13">
        <v>326</v>
      </c>
      <c r="O2260" s="16" t="s">
        <v>26</v>
      </c>
      <c r="P2260" s="6">
        <v>40036.55777777778</v>
      </c>
      <c r="Q2260" s="17" t="s">
        <v>141</v>
      </c>
      <c r="R2260" s="18" t="s">
        <v>8145</v>
      </c>
      <c r="S2260" s="11" t="s">
        <v>8146</v>
      </c>
      <c r="T2260" s="12"/>
      <c r="U2260" s="10" t="str">
        <f>HYPERLINK("https://pbs.twimg.com/profile_images/1013719742048358401/TPKhLiEm.jpg","View")</f>
        <v>View</v>
      </c>
    </row>
    <row r="2261" spans="1:21" ht="30.6">
      <c r="A2261" s="6">
        <v>43426.591226851851</v>
      </c>
      <c r="B2261" s="7" t="str">
        <f>HYPERLINK("https://twitter.com/FranciscoCarab6","@FranciscoCarab6")</f>
        <v>@FranciscoCarab6</v>
      </c>
      <c r="C2261" s="8" t="s">
        <v>8147</v>
      </c>
      <c r="D2261" s="9" t="s">
        <v>1143</v>
      </c>
      <c r="E2261" s="10" t="str">
        <f>HYPERLINK("https://twitter.com/FranciscoCarab6/status/1065593583401648130","1065593583401648130")</f>
        <v>1065593583401648130</v>
      </c>
      <c r="F2261" s="11" t="s">
        <v>8148</v>
      </c>
      <c r="G2261" s="12"/>
      <c r="H2261" s="12"/>
      <c r="I2261" s="13">
        <v>0</v>
      </c>
      <c r="J2261" s="13">
        <v>0</v>
      </c>
      <c r="K2261" s="14" t="str">
        <f>HYPERLINK("http://twitter.com/download/iphone","Twitter for iPhone")</f>
        <v>Twitter for iPhone</v>
      </c>
      <c r="L2261" s="13">
        <v>888</v>
      </c>
      <c r="M2261" s="13">
        <v>1708</v>
      </c>
      <c r="N2261" s="13">
        <v>17</v>
      </c>
      <c r="O2261" s="15"/>
      <c r="P2261" s="6">
        <v>41189.472974537035</v>
      </c>
      <c r="Q2261" s="17" t="s">
        <v>8149</v>
      </c>
      <c r="R2261" s="18" t="s">
        <v>8150</v>
      </c>
      <c r="S2261" s="11" t="s">
        <v>8151</v>
      </c>
      <c r="T2261" s="12"/>
      <c r="U2261" s="10" t="str">
        <f>HYPERLINK("https://pbs.twimg.com/profile_images/2692136259/e9211ea3adfd32d9a43e8342b897f668.jpeg","View")</f>
        <v>View</v>
      </c>
    </row>
    <row r="2262" spans="1:21" ht="30.6">
      <c r="A2262" s="6">
        <v>43426.590960648144</v>
      </c>
      <c r="B2262" s="7" t="str">
        <f>HYPERLINK("https://twitter.com/madridesnoticia","@madridesnoticia")</f>
        <v>@madridesnoticia</v>
      </c>
      <c r="C2262" s="8" t="s">
        <v>8152</v>
      </c>
      <c r="D2262" s="9" t="s">
        <v>8153</v>
      </c>
      <c r="E2262" s="10" t="str">
        <f>HYPERLINK("https://twitter.com/madridesnoticia/status/1065593487217909760","1065593487217909760")</f>
        <v>1065593487217909760</v>
      </c>
      <c r="F2262" s="11" t="s">
        <v>8154</v>
      </c>
      <c r="G2262" s="12"/>
      <c r="H2262" s="12"/>
      <c r="I2262" s="13">
        <v>0</v>
      </c>
      <c r="J2262" s="13">
        <v>0</v>
      </c>
      <c r="K2262" s="14" t="str">
        <f>HYPERLINK("http://twitter.com","Twitter Web Client")</f>
        <v>Twitter Web Client</v>
      </c>
      <c r="L2262" s="13">
        <v>6917</v>
      </c>
      <c r="M2262" s="13">
        <v>4928</v>
      </c>
      <c r="N2262" s="13">
        <v>128</v>
      </c>
      <c r="O2262" s="15"/>
      <c r="P2262" s="6">
        <v>41932.735115740739</v>
      </c>
      <c r="Q2262" s="17" t="s">
        <v>72</v>
      </c>
      <c r="R2262" s="18" t="s">
        <v>8155</v>
      </c>
      <c r="S2262" s="11" t="s">
        <v>8156</v>
      </c>
      <c r="T2262" s="12"/>
      <c r="U2262" s="10" t="str">
        <f>HYPERLINK("https://pbs.twimg.com/profile_images/991426539601498112/Y4q21om7.jpg","View")</f>
        <v>View</v>
      </c>
    </row>
    <row r="2263" spans="1:21" ht="20.399999999999999">
      <c r="A2263" s="6">
        <v>43426.59075231482</v>
      </c>
      <c r="B2263" s="7" t="str">
        <f>HYPERLINK("https://twitter.com/InkibackJaime","@InkibackJaime")</f>
        <v>@InkibackJaime</v>
      </c>
      <c r="C2263" s="8" t="s">
        <v>8157</v>
      </c>
      <c r="D2263" s="9" t="s">
        <v>8158</v>
      </c>
      <c r="E2263" s="10" t="str">
        <f>HYPERLINK("https://twitter.com/InkibackJaime/status/1065593410764136448","1065593410764136448")</f>
        <v>1065593410764136448</v>
      </c>
      <c r="F2263" s="17" t="s">
        <v>8159</v>
      </c>
      <c r="G2263" s="12"/>
      <c r="H2263" s="12"/>
      <c r="I2263" s="13">
        <v>0</v>
      </c>
      <c r="J2263" s="13">
        <v>0</v>
      </c>
      <c r="K2263" s="14" t="str">
        <f>HYPERLINK("http://twitter.com/download/android","Twitter for Android")</f>
        <v>Twitter for Android</v>
      </c>
      <c r="L2263" s="13">
        <v>140</v>
      </c>
      <c r="M2263" s="13">
        <v>378</v>
      </c>
      <c r="N2263" s="13">
        <v>4</v>
      </c>
      <c r="O2263" s="15"/>
      <c r="P2263" s="6">
        <v>41197.9294212963</v>
      </c>
      <c r="Q2263" s="17" t="s">
        <v>191</v>
      </c>
      <c r="R2263" s="27" t="s">
        <v>8160</v>
      </c>
      <c r="S2263" s="12"/>
      <c r="T2263" s="12"/>
      <c r="U2263" s="10" t="str">
        <f>HYPERLINK("https://pbs.twimg.com/profile_images/937355047658287104/1hljOIcI.jpg","View")</f>
        <v>View</v>
      </c>
    </row>
    <row r="2264" spans="1:21" ht="20.399999999999999">
      <c r="A2264" s="6">
        <v>43426.590555555551</v>
      </c>
      <c r="B2264" s="7" t="str">
        <f>HYPERLINK("https://twitter.com/Trompeta36","@Trompeta36")</f>
        <v>@Trompeta36</v>
      </c>
      <c r="C2264" s="8" t="s">
        <v>8161</v>
      </c>
      <c r="D2264" s="9" t="s">
        <v>8162</v>
      </c>
      <c r="E2264" s="10" t="str">
        <f>HYPERLINK("https://twitter.com/Trompeta36/status/1065593337640562688","1065593337640562688")</f>
        <v>1065593337640562688</v>
      </c>
      <c r="F2264" s="11" t="s">
        <v>8163</v>
      </c>
      <c r="G2264" s="12"/>
      <c r="H2264" s="12"/>
      <c r="I2264" s="13">
        <v>0</v>
      </c>
      <c r="J2264" s="13">
        <v>0</v>
      </c>
      <c r="K2264" s="14" t="str">
        <f>HYPERLINK("http://www.facebook.com/twitter","Facebook")</f>
        <v>Facebook</v>
      </c>
      <c r="L2264" s="13">
        <v>2262</v>
      </c>
      <c r="M2264" s="13">
        <v>2952</v>
      </c>
      <c r="N2264" s="13">
        <v>0</v>
      </c>
      <c r="O2264" s="15"/>
      <c r="P2264" s="6">
        <v>40835.551631944443</v>
      </c>
      <c r="Q2264" s="17" t="s">
        <v>8164</v>
      </c>
      <c r="R2264" s="18" t="s">
        <v>8165</v>
      </c>
      <c r="S2264" s="12"/>
      <c r="T2264" s="12"/>
      <c r="U2264" s="10" t="str">
        <f>HYPERLINK("https://pbs.twimg.com/profile_images/723132334489346048/JJaObwC9.jpg","View")</f>
        <v>View</v>
      </c>
    </row>
    <row r="2265" spans="1:21" ht="20.399999999999999">
      <c r="A2265" s="6">
        <v>43426.589479166665</v>
      </c>
      <c r="B2265" s="7" t="str">
        <f>HYPERLINK("https://twitter.com/Alejand40652794","@Alejand40652794")</f>
        <v>@Alejand40652794</v>
      </c>
      <c r="C2265" s="8" t="s">
        <v>8166</v>
      </c>
      <c r="D2265" s="9" t="s">
        <v>8167</v>
      </c>
      <c r="E2265" s="10" t="str">
        <f>HYPERLINK("https://twitter.com/Alejand40652794/status/1065592948216291330","1065592948216291330")</f>
        <v>1065592948216291330</v>
      </c>
      <c r="F2265" s="12"/>
      <c r="G2265" s="11" t="s">
        <v>8168</v>
      </c>
      <c r="H2265" s="12"/>
      <c r="I2265" s="13">
        <v>0</v>
      </c>
      <c r="J2265" s="13">
        <v>0</v>
      </c>
      <c r="K2265" s="14" t="str">
        <f t="shared" ref="K2265:K2269" si="368">HYPERLINK("http://twitter.com","Twitter Web Client")</f>
        <v>Twitter Web Client</v>
      </c>
      <c r="L2265" s="13">
        <v>0</v>
      </c>
      <c r="M2265" s="13">
        <v>29</v>
      </c>
      <c r="N2265" s="13">
        <v>0</v>
      </c>
      <c r="O2265" s="15"/>
      <c r="P2265" s="6">
        <v>43397.783159722225</v>
      </c>
      <c r="Q2265" s="17" t="s">
        <v>40</v>
      </c>
      <c r="R2265" s="18" t="s">
        <v>8169</v>
      </c>
      <c r="S2265" s="12"/>
      <c r="T2265" s="12"/>
      <c r="U2265" s="10" t="str">
        <f>HYPERLINK("https://pbs.twimg.com/profile_images/1055149787794747392/Pc404P_B.jpg","View")</f>
        <v>View</v>
      </c>
    </row>
    <row r="2266" spans="1:21" ht="30.6">
      <c r="A2266" s="6">
        <v>43426.589247685188</v>
      </c>
      <c r="B2266" s="7" t="str">
        <f>HYPERLINK("https://twitter.com/efalfaro59","@efalfaro59")</f>
        <v>@efalfaro59</v>
      </c>
      <c r="C2266" s="8" t="s">
        <v>8170</v>
      </c>
      <c r="D2266" s="9" t="s">
        <v>8171</v>
      </c>
      <c r="E2266" s="10" t="str">
        <f>HYPERLINK("https://twitter.com/efalfaro59/status/1065592864917344256","1065592864917344256")</f>
        <v>1065592864917344256</v>
      </c>
      <c r="F2266" s="11" t="s">
        <v>8172</v>
      </c>
      <c r="G2266" s="12"/>
      <c r="H2266" s="12"/>
      <c r="I2266" s="13">
        <v>0</v>
      </c>
      <c r="J2266" s="13">
        <v>0</v>
      </c>
      <c r="K2266" s="14" t="str">
        <f t="shared" si="368"/>
        <v>Twitter Web Client</v>
      </c>
      <c r="L2266" s="13">
        <v>111</v>
      </c>
      <c r="M2266" s="13">
        <v>135</v>
      </c>
      <c r="N2266" s="13">
        <v>2</v>
      </c>
      <c r="O2266" s="15"/>
      <c r="P2266" s="6">
        <v>41034.758368055554</v>
      </c>
      <c r="Q2266" s="17" t="s">
        <v>8173</v>
      </c>
      <c r="R2266" s="18" t="s">
        <v>8174</v>
      </c>
      <c r="S2266" s="12"/>
      <c r="T2266" s="12"/>
      <c r="U2266" s="10" t="str">
        <f>HYPERLINK("https://pbs.twimg.com/profile_images/960873973570555904/4Ggt0Lsy.jpg","View")</f>
        <v>View</v>
      </c>
    </row>
    <row r="2267" spans="1:21" ht="112.2">
      <c r="A2267" s="6">
        <v>43426.589004629626</v>
      </c>
      <c r="B2267" s="7" t="str">
        <f>HYPERLINK("https://twitter.com/ggohom","@ggohom")</f>
        <v>@ggohom</v>
      </c>
      <c r="C2267" s="8" t="s">
        <v>8175</v>
      </c>
      <c r="D2267" s="9" t="s">
        <v>8176</v>
      </c>
      <c r="E2267" s="10" t="str">
        <f>HYPERLINK("https://twitter.com/ggohom/status/1065592777289990144","1065592777289990144")</f>
        <v>1065592777289990144</v>
      </c>
      <c r="F2267" s="11" t="s">
        <v>8177</v>
      </c>
      <c r="G2267" s="11" t="s">
        <v>8178</v>
      </c>
      <c r="H2267" s="12"/>
      <c r="I2267" s="13">
        <v>0</v>
      </c>
      <c r="J2267" s="13">
        <v>0</v>
      </c>
      <c r="K2267" s="14" t="str">
        <f t="shared" si="368"/>
        <v>Twitter Web Client</v>
      </c>
      <c r="L2267" s="13">
        <v>17166</v>
      </c>
      <c r="M2267" s="13">
        <v>13338</v>
      </c>
      <c r="N2267" s="13">
        <v>201</v>
      </c>
      <c r="O2267" s="15"/>
      <c r="P2267" s="6">
        <v>40058.819305555553</v>
      </c>
      <c r="Q2267" s="12"/>
      <c r="R2267" s="18" t="s">
        <v>8179</v>
      </c>
      <c r="S2267" s="11" t="s">
        <v>8180</v>
      </c>
      <c r="T2267" s="12"/>
      <c r="U2267" s="10" t="str">
        <f>HYPERLINK("https://pbs.twimg.com/profile_images/1001313945666322433/tI3F5ak2.jpg","View")</f>
        <v>View</v>
      </c>
    </row>
    <row r="2268" spans="1:21" ht="20.399999999999999">
      <c r="A2268" s="6">
        <v>43426.588784722218</v>
      </c>
      <c r="B2268" s="7" t="str">
        <f>HYPERLINK("https://twitter.com/xavierbrotons","@xavierbrotons")</f>
        <v>@xavierbrotons</v>
      </c>
      <c r="C2268" s="8" t="s">
        <v>8181</v>
      </c>
      <c r="D2268" s="9" t="s">
        <v>8182</v>
      </c>
      <c r="E2268" s="10" t="str">
        <f>HYPERLINK("https://twitter.com/xavierbrotons/status/1065592698688733184","1065592698688733184")</f>
        <v>1065592698688733184</v>
      </c>
      <c r="F2268" s="11" t="s">
        <v>1253</v>
      </c>
      <c r="G2268" s="12"/>
      <c r="H2268" s="12"/>
      <c r="I2268" s="13">
        <v>0</v>
      </c>
      <c r="J2268" s="13">
        <v>0</v>
      </c>
      <c r="K2268" s="14" t="str">
        <f t="shared" si="368"/>
        <v>Twitter Web Client</v>
      </c>
      <c r="L2268" s="13">
        <v>670</v>
      </c>
      <c r="M2268" s="13">
        <v>552</v>
      </c>
      <c r="N2268" s="13">
        <v>14</v>
      </c>
      <c r="O2268" s="15"/>
      <c r="P2268" s="6">
        <v>41291.017696759256</v>
      </c>
      <c r="Q2268" s="12"/>
      <c r="R2268" s="18" t="s">
        <v>8183</v>
      </c>
      <c r="S2268" s="12"/>
      <c r="T2268" s="12"/>
      <c r="U2268" s="10" t="str">
        <f>HYPERLINK("https://pbs.twimg.com/profile_images/473847975467175936/NN_PdEmG.jpeg","View")</f>
        <v>View</v>
      </c>
    </row>
    <row r="2269" spans="1:21" ht="40.799999999999997">
      <c r="A2269" s="6">
        <v>43426.588738425926</v>
      </c>
      <c r="B2269" s="7" t="str">
        <f>HYPERLINK("https://twitter.com/PP_Asturias","@PP_Asturias")</f>
        <v>@PP_Asturias</v>
      </c>
      <c r="C2269" s="8" t="s">
        <v>8184</v>
      </c>
      <c r="D2269" s="9" t="s">
        <v>8185</v>
      </c>
      <c r="E2269" s="10" t="str">
        <f>HYPERLINK("https://twitter.com/PP_Asturias/status/1065592682205114370","1065592682205114370")</f>
        <v>1065592682205114370</v>
      </c>
      <c r="F2269" s="11" t="s">
        <v>8186</v>
      </c>
      <c r="G2269" s="11" t="s">
        <v>8187</v>
      </c>
      <c r="H2269" s="12"/>
      <c r="I2269" s="13">
        <v>12</v>
      </c>
      <c r="J2269" s="13">
        <v>11</v>
      </c>
      <c r="K2269" s="14" t="str">
        <f t="shared" si="368"/>
        <v>Twitter Web Client</v>
      </c>
      <c r="L2269" s="13">
        <v>5452</v>
      </c>
      <c r="M2269" s="13">
        <v>2503</v>
      </c>
      <c r="N2269" s="13">
        <v>86</v>
      </c>
      <c r="O2269" s="16" t="s">
        <v>26</v>
      </c>
      <c r="P2269" s="6">
        <v>41354.715185185181</v>
      </c>
      <c r="Q2269" s="17" t="s">
        <v>8188</v>
      </c>
      <c r="R2269" s="18" t="s">
        <v>8189</v>
      </c>
      <c r="S2269" s="11" t="s">
        <v>8190</v>
      </c>
      <c r="T2269" s="12"/>
      <c r="U2269" s="10" t="str">
        <f>HYPERLINK("https://pbs.twimg.com/profile_images/1053587569160675330/gRLkqkSt.jpg","View")</f>
        <v>View</v>
      </c>
    </row>
    <row r="2270" spans="1:21" ht="20.399999999999999">
      <c r="A2270" s="6">
        <v>43426.587013888886</v>
      </c>
      <c r="B2270" s="7" t="str">
        <f>HYPERLINK("https://twitter.com/ANTPODEMOS","@ANTPODEMOS")</f>
        <v>@ANTPODEMOS</v>
      </c>
      <c r="C2270" s="8" t="s">
        <v>4435</v>
      </c>
      <c r="D2270" s="9" t="s">
        <v>8191</v>
      </c>
      <c r="E2270" s="10" t="str">
        <f>HYPERLINK("https://twitter.com/ANTPODEMOS/status/1065592053868961792","1065592053868961792")</f>
        <v>1065592053868961792</v>
      </c>
      <c r="F2270" s="11" t="s">
        <v>8192</v>
      </c>
      <c r="G2270" s="12"/>
      <c r="H2270" s="12"/>
      <c r="I2270" s="13">
        <v>2</v>
      </c>
      <c r="J2270" s="13">
        <v>1</v>
      </c>
      <c r="K2270" s="14" t="str">
        <f>HYPERLINK("http://www.facebook.com/twitter","Facebook")</f>
        <v>Facebook</v>
      </c>
      <c r="L2270" s="13">
        <v>5482</v>
      </c>
      <c r="M2270" s="13">
        <v>421</v>
      </c>
      <c r="N2270" s="13">
        <v>58</v>
      </c>
      <c r="O2270" s="15"/>
      <c r="P2270" s="6">
        <v>41956.204837962963</v>
      </c>
      <c r="Q2270" s="17" t="s">
        <v>28</v>
      </c>
      <c r="R2270" s="18" t="s">
        <v>4437</v>
      </c>
      <c r="S2270" s="11" t="s">
        <v>4438</v>
      </c>
      <c r="T2270" s="12"/>
      <c r="U2270" s="10" t="str">
        <f>HYPERLINK("https://pbs.twimg.com/profile_images/952681544224854017/rVAhotfW.jpg","View")</f>
        <v>View</v>
      </c>
    </row>
    <row r="2271" spans="1:21" ht="20.399999999999999">
      <c r="A2271" s="6">
        <v>43426.586712962962</v>
      </c>
      <c r="B2271" s="7" t="str">
        <f>HYPERLINK("https://twitter.com/lidudio","@lidudio")</f>
        <v>@lidudio</v>
      </c>
      <c r="C2271" s="8" t="s">
        <v>8193</v>
      </c>
      <c r="D2271" s="9" t="s">
        <v>5952</v>
      </c>
      <c r="E2271" s="10" t="str">
        <f>HYPERLINK("https://twitter.com/lidudio/status/1065591944850608128","1065591944850608128")</f>
        <v>1065591944850608128</v>
      </c>
      <c r="F2271" s="11" t="s">
        <v>391</v>
      </c>
      <c r="G2271" s="12"/>
      <c r="H2271" s="12"/>
      <c r="I2271" s="13">
        <v>0</v>
      </c>
      <c r="J2271" s="13">
        <v>0</v>
      </c>
      <c r="K2271" s="14" t="str">
        <f t="shared" ref="K2271:K2272" si="369">HYPERLINK("http://twitter.com","Twitter Web Client")</f>
        <v>Twitter Web Client</v>
      </c>
      <c r="L2271" s="13">
        <v>1930</v>
      </c>
      <c r="M2271" s="13">
        <v>2009</v>
      </c>
      <c r="N2271" s="13">
        <v>10</v>
      </c>
      <c r="O2271" s="15"/>
      <c r="P2271" s="6">
        <v>40303.872210648144</v>
      </c>
      <c r="Q2271" s="17" t="s">
        <v>383</v>
      </c>
      <c r="R2271" s="18" t="s">
        <v>8194</v>
      </c>
      <c r="S2271" s="12"/>
      <c r="T2271" s="12"/>
      <c r="U2271" s="10" t="str">
        <f>HYPERLINK("https://pbs.twimg.com/profile_images/1225883936/Venezuela_en_sangre.jpg","View")</f>
        <v>View</v>
      </c>
    </row>
    <row r="2272" spans="1:21" ht="51">
      <c r="A2272" s="6">
        <v>43426.586493055554</v>
      </c>
      <c r="B2272" s="7" t="str">
        <f>HYPERLINK("https://twitter.com/idaniacubana","@idaniacubana")</f>
        <v>@idaniacubana</v>
      </c>
      <c r="C2272" s="8" t="s">
        <v>8195</v>
      </c>
      <c r="D2272" s="9" t="s">
        <v>8196</v>
      </c>
      <c r="E2272" s="10" t="str">
        <f>HYPERLINK("https://twitter.com/idaniacubana/status/1065591867570626563","1065591867570626563")</f>
        <v>1065591867570626563</v>
      </c>
      <c r="F2272" s="12"/>
      <c r="G2272" s="11" t="s">
        <v>8197</v>
      </c>
      <c r="H2272" s="12"/>
      <c r="I2272" s="13">
        <v>3</v>
      </c>
      <c r="J2272" s="13">
        <v>2</v>
      </c>
      <c r="K2272" s="14" t="str">
        <f t="shared" si="369"/>
        <v>Twitter Web Client</v>
      </c>
      <c r="L2272" s="13">
        <v>8518</v>
      </c>
      <c r="M2272" s="13">
        <v>9128</v>
      </c>
      <c r="N2272" s="13">
        <v>73</v>
      </c>
      <c r="O2272" s="15"/>
      <c r="P2272" s="6">
        <v>41537.886759259258</v>
      </c>
      <c r="Q2272" s="12"/>
      <c r="R2272" s="19"/>
      <c r="S2272" s="12"/>
      <c r="T2272" s="12"/>
      <c r="U2272" s="10" t="str">
        <f>HYPERLINK("https://pbs.twimg.com/profile_images/413893824704815104/AKrpnErJ.jpeg","View")</f>
        <v>View</v>
      </c>
    </row>
    <row r="2273" spans="1:21" ht="20.399999999999999">
      <c r="A2273" s="6">
        <v>43426.584976851853</v>
      </c>
      <c r="B2273" s="7" t="str">
        <f>HYPERLINK("https://twitter.com/14ymedio","@14ymedio")</f>
        <v>@14ymedio</v>
      </c>
      <c r="C2273" s="8" t="s">
        <v>983</v>
      </c>
      <c r="D2273" s="9" t="s">
        <v>8198</v>
      </c>
      <c r="E2273" s="10" t="str">
        <f>HYPERLINK("https://twitter.com/14ymedio/status/1065591316506181632","1065591316506181632")</f>
        <v>1065591316506181632</v>
      </c>
      <c r="F2273" s="11" t="s">
        <v>8199</v>
      </c>
      <c r="G2273" s="11" t="s">
        <v>8200</v>
      </c>
      <c r="H2273" s="12"/>
      <c r="I2273" s="13">
        <v>2</v>
      </c>
      <c r="J2273" s="13">
        <v>3</v>
      </c>
      <c r="K2273" s="14" t="str">
        <f>HYPERLINK("https://buffer.com","Buffer")</f>
        <v>Buffer</v>
      </c>
      <c r="L2273" s="13">
        <v>25524</v>
      </c>
      <c r="M2273" s="13">
        <v>1531</v>
      </c>
      <c r="N2273" s="13">
        <v>511</v>
      </c>
      <c r="O2273" s="16" t="s">
        <v>26</v>
      </c>
      <c r="P2273" s="6">
        <v>41655.947025462963</v>
      </c>
      <c r="Q2273" s="17" t="s">
        <v>475</v>
      </c>
      <c r="R2273" s="18" t="s">
        <v>986</v>
      </c>
      <c r="S2273" s="11" t="s">
        <v>174</v>
      </c>
      <c r="T2273" s="12"/>
      <c r="U2273" s="10" t="str">
        <f>HYPERLINK("https://pbs.twimg.com/profile_images/998676426877423616/iWXLlI6M.jpg","View")</f>
        <v>View</v>
      </c>
    </row>
    <row r="2274" spans="1:21" ht="20.399999999999999">
      <c r="A2274" s="6">
        <v>43426.583831018521</v>
      </c>
      <c r="B2274" s="7" t="str">
        <f>HYPERLINK("https://twitter.com/CaraotaDigital","@CaraotaDigital")</f>
        <v>@CaraotaDigital</v>
      </c>
      <c r="C2274" s="8" t="s">
        <v>445</v>
      </c>
      <c r="D2274" s="9" t="s">
        <v>5736</v>
      </c>
      <c r="E2274" s="10" t="str">
        <f>HYPERLINK("https://twitter.com/CaraotaDigital/status/1065590903933476864","1065590903933476864")</f>
        <v>1065590903933476864</v>
      </c>
      <c r="F2274" s="11" t="s">
        <v>447</v>
      </c>
      <c r="G2274" s="12"/>
      <c r="H2274" s="12"/>
      <c r="I2274" s="13">
        <v>0</v>
      </c>
      <c r="J2274" s="13">
        <v>0</v>
      </c>
      <c r="K2274" s="14" t="str">
        <f>HYPERLINK("https://about.twitter.com/products/tweetdeck","TweetDeck")</f>
        <v>TweetDeck</v>
      </c>
      <c r="L2274" s="13">
        <v>1115993</v>
      </c>
      <c r="M2274" s="13">
        <v>409</v>
      </c>
      <c r="N2274" s="13">
        <v>2984</v>
      </c>
      <c r="O2274" s="16" t="s">
        <v>26</v>
      </c>
      <c r="P2274" s="6">
        <v>40386.147511574076</v>
      </c>
      <c r="Q2274" s="17" t="s">
        <v>448</v>
      </c>
      <c r="R2274" s="18" t="s">
        <v>449</v>
      </c>
      <c r="S2274" s="11" t="s">
        <v>451</v>
      </c>
      <c r="T2274" s="12"/>
      <c r="U2274" s="10" t="str">
        <f>HYPERLINK("https://pbs.twimg.com/profile_images/1046543482054217729/GUKGkwV4.jpg","View")</f>
        <v>View</v>
      </c>
    </row>
    <row r="2275" spans="1:21" ht="40.799999999999997">
      <c r="A2275" s="6">
        <v>43426.583645833336</v>
      </c>
      <c r="B2275" s="7" t="str">
        <f>HYPERLINK("https://twitter.com/democratas_es","@democratas_es")</f>
        <v>@democratas_es</v>
      </c>
      <c r="C2275" s="8" t="s">
        <v>8201</v>
      </c>
      <c r="D2275" s="9" t="s">
        <v>8202</v>
      </c>
      <c r="E2275" s="10" t="str">
        <f>HYPERLINK("https://twitter.com/democratas_es/status/1065590836245774336","1065590836245774336")</f>
        <v>1065590836245774336</v>
      </c>
      <c r="F2275" s="11" t="s">
        <v>372</v>
      </c>
      <c r="G2275" s="12"/>
      <c r="H2275" s="12"/>
      <c r="I2275" s="13">
        <v>0</v>
      </c>
      <c r="J2275" s="13">
        <v>0</v>
      </c>
      <c r="K2275" s="14" t="str">
        <f>HYPERLINK("http://www.facebook.com/twitter","Facebook")</f>
        <v>Facebook</v>
      </c>
      <c r="L2275" s="13">
        <v>1376</v>
      </c>
      <c r="M2275" s="13">
        <v>4995</v>
      </c>
      <c r="N2275" s="13">
        <v>9</v>
      </c>
      <c r="O2275" s="15"/>
      <c r="P2275" s="6">
        <v>42778.338807870372</v>
      </c>
      <c r="Q2275" s="17" t="s">
        <v>28</v>
      </c>
      <c r="R2275" s="18" t="s">
        <v>8203</v>
      </c>
      <c r="S2275" s="11" t="s">
        <v>8204</v>
      </c>
      <c r="T2275" s="12"/>
      <c r="U2275" s="10" t="str">
        <f>HYPERLINK("https://pbs.twimg.com/profile_images/830696445053431808/6jDljtWg.jpg","View")</f>
        <v>View</v>
      </c>
    </row>
    <row r="2276" spans="1:21" ht="40.799999999999997">
      <c r="A2276" s="6">
        <v>43426.583368055552</v>
      </c>
      <c r="B2276" s="7" t="str">
        <f>HYPERLINK("https://twitter.com/martinoticias","@martinoticias")</f>
        <v>@martinoticias</v>
      </c>
      <c r="C2276" s="8" t="s">
        <v>4130</v>
      </c>
      <c r="D2276" s="9" t="s">
        <v>8205</v>
      </c>
      <c r="E2276" s="10" t="str">
        <f>HYPERLINK("https://twitter.com/martinoticias/status/1065590733854265344","1065590733854265344")</f>
        <v>1065590733854265344</v>
      </c>
      <c r="F2276" s="11" t="s">
        <v>8206</v>
      </c>
      <c r="G2276" s="12"/>
      <c r="H2276" s="12"/>
      <c r="I2276" s="13">
        <v>1</v>
      </c>
      <c r="J2276" s="13">
        <v>0</v>
      </c>
      <c r="K2276" s="14" t="str">
        <f>HYPERLINK("http://www.socialbakers.com/","Socialbakers")</f>
        <v>Socialbakers</v>
      </c>
      <c r="L2276" s="13">
        <v>17427</v>
      </c>
      <c r="M2276" s="13">
        <v>3644</v>
      </c>
      <c r="N2276" s="13">
        <v>403</v>
      </c>
      <c r="O2276" s="15"/>
      <c r="P2276" s="6">
        <v>39874.603946759264</v>
      </c>
      <c r="Q2276" s="17" t="s">
        <v>127</v>
      </c>
      <c r="R2276" s="18" t="s">
        <v>4133</v>
      </c>
      <c r="S2276" s="11" t="s">
        <v>4134</v>
      </c>
      <c r="T2276" s="12"/>
      <c r="U2276" s="10" t="str">
        <f>HYPERLINK("https://pbs.twimg.com/profile_images/1048254701974827009/wiy6pU4s.jpg","View")</f>
        <v>View</v>
      </c>
    </row>
    <row r="2277" spans="1:21" ht="40.799999999999997">
      <c r="A2277" s="6">
        <v>43426.583333333328</v>
      </c>
      <c r="B2277" s="7" t="str">
        <f>HYPERLINK("https://twitter.com/SextaNocheTV","@SextaNocheTV")</f>
        <v>@SextaNocheTV</v>
      </c>
      <c r="C2277" s="8" t="s">
        <v>8207</v>
      </c>
      <c r="D2277" s="9" t="s">
        <v>8208</v>
      </c>
      <c r="E2277" s="10" t="str">
        <f>HYPERLINK("https://twitter.com/SextaNocheTV/status/1065590722185883649","1065590722185883649")</f>
        <v>1065590722185883649</v>
      </c>
      <c r="F2277" s="11" t="s">
        <v>8209</v>
      </c>
      <c r="G2277" s="12"/>
      <c r="H2277" s="12"/>
      <c r="I2277" s="13">
        <v>1</v>
      </c>
      <c r="J2277" s="13">
        <v>3</v>
      </c>
      <c r="K2277" s="14" t="str">
        <f>HYPERLINK("http://dogtrack.es","DogTrack_Oficial")</f>
        <v>DogTrack_Oficial</v>
      </c>
      <c r="L2277" s="13">
        <v>162126</v>
      </c>
      <c r="M2277" s="13">
        <v>594</v>
      </c>
      <c r="N2277" s="13">
        <v>1218</v>
      </c>
      <c r="O2277" s="16" t="s">
        <v>26</v>
      </c>
      <c r="P2277" s="6">
        <v>41296.568692129629</v>
      </c>
      <c r="Q2277" s="12"/>
      <c r="R2277" s="18" t="s">
        <v>8210</v>
      </c>
      <c r="S2277" s="11" t="s">
        <v>8211</v>
      </c>
      <c r="T2277" s="12"/>
      <c r="U2277" s="10" t="str">
        <f>HYPERLINK("https://pbs.twimg.com/profile_images/848253956446924800/O5oRyKJi.jpg","View")</f>
        <v>View</v>
      </c>
    </row>
    <row r="2278" spans="1:21" ht="30.6">
      <c r="A2278" s="6">
        <v>43426.582743055551</v>
      </c>
      <c r="B2278" s="7" t="str">
        <f>HYPERLINK("https://twitter.com/rusodosky","@rusodosky")</f>
        <v>@rusodosky</v>
      </c>
      <c r="C2278" s="8" t="s">
        <v>8212</v>
      </c>
      <c r="D2278" s="9" t="s">
        <v>5584</v>
      </c>
      <c r="E2278" s="10" t="str">
        <f>HYPERLINK("https://twitter.com/rusodosky/status/1065590508863524865","1065590508863524865")</f>
        <v>1065590508863524865</v>
      </c>
      <c r="F2278" s="11" t="s">
        <v>8213</v>
      </c>
      <c r="G2278" s="12"/>
      <c r="H2278" s="12"/>
      <c r="I2278" s="13">
        <v>0</v>
      </c>
      <c r="J2278" s="13">
        <v>0</v>
      </c>
      <c r="K2278" s="14" t="str">
        <f>HYPERLINK("http://twitter.com/download/android","Twitter for Android")</f>
        <v>Twitter for Android</v>
      </c>
      <c r="L2278" s="13">
        <v>7262</v>
      </c>
      <c r="M2278" s="13">
        <v>7944</v>
      </c>
      <c r="N2278" s="13">
        <v>12</v>
      </c>
      <c r="O2278" s="15"/>
      <c r="P2278" s="6">
        <v>41680.955497685187</v>
      </c>
      <c r="Q2278" s="12"/>
      <c r="R2278" s="18" t="s">
        <v>8214</v>
      </c>
      <c r="S2278" s="12"/>
      <c r="T2278" s="12"/>
      <c r="U2278" s="10" t="str">
        <f>HYPERLINK("https://pbs.twimg.com/profile_images/770830169288347648/O06sZYt3.jpg","View")</f>
        <v>View</v>
      </c>
    </row>
    <row r="2279" spans="1:21" ht="102">
      <c r="A2279" s="6">
        <v>43426.582083333335</v>
      </c>
      <c r="B2279" s="7" t="str">
        <f>HYPERLINK("https://twitter.com/omontauti","@omontauti")</f>
        <v>@omontauti</v>
      </c>
      <c r="C2279" s="8" t="s">
        <v>8215</v>
      </c>
      <c r="D2279" s="9" t="s">
        <v>8216</v>
      </c>
      <c r="E2279" s="10" t="str">
        <f>HYPERLINK("https://twitter.com/omontauti/status/1065590270408962048","1065590270408962048")</f>
        <v>1065590270408962048</v>
      </c>
      <c r="F2279" s="11" t="s">
        <v>8217</v>
      </c>
      <c r="G2279" s="11" t="s">
        <v>8218</v>
      </c>
      <c r="H2279" s="12"/>
      <c r="I2279" s="13">
        <v>0</v>
      </c>
      <c r="J2279" s="13">
        <v>0</v>
      </c>
      <c r="K2279" s="14" t="str">
        <f>HYPERLINK("http://twitter.com","Twitter Web Client")</f>
        <v>Twitter Web Client</v>
      </c>
      <c r="L2279" s="13">
        <v>772</v>
      </c>
      <c r="M2279" s="13">
        <v>971</v>
      </c>
      <c r="N2279" s="13">
        <v>7</v>
      </c>
      <c r="O2279" s="15"/>
      <c r="P2279" s="6">
        <v>40019.696863425925</v>
      </c>
      <c r="Q2279" s="17" t="s">
        <v>8219</v>
      </c>
      <c r="R2279" s="18" t="s">
        <v>8220</v>
      </c>
      <c r="S2279" s="11" t="s">
        <v>8221</v>
      </c>
      <c r="T2279" s="12"/>
      <c r="U2279" s="10" t="str">
        <f>HYPERLINK("https://pbs.twimg.com/profile_images/2482778287/5f8iebz9fcfti3fsoqys.jpeg","View")</f>
        <v>View</v>
      </c>
    </row>
    <row r="2280" spans="1:21" ht="20.399999999999999">
      <c r="A2280" s="6">
        <v>43426.581817129627</v>
      </c>
      <c r="B2280" s="7" t="str">
        <f>HYPERLINK("https://twitter.com/TheCormental","@TheCormental")</f>
        <v>@TheCormental</v>
      </c>
      <c r="C2280" s="8" t="s">
        <v>8222</v>
      </c>
      <c r="D2280" s="9" t="s">
        <v>2837</v>
      </c>
      <c r="E2280" s="10" t="str">
        <f>HYPERLINK("https://twitter.com/TheCormental/status/1065590173403152384","1065590173403152384")</f>
        <v>1065590173403152384</v>
      </c>
      <c r="F2280" s="11" t="s">
        <v>2838</v>
      </c>
      <c r="G2280" s="12"/>
      <c r="H2280" s="12"/>
      <c r="I2280" s="13">
        <v>0</v>
      </c>
      <c r="J2280" s="13">
        <v>0</v>
      </c>
      <c r="K2280" s="14" t="str">
        <f>HYPERLINK("https://www.google.com/","Google")</f>
        <v>Google</v>
      </c>
      <c r="L2280" s="13">
        <v>614</v>
      </c>
      <c r="M2280" s="13">
        <v>1180</v>
      </c>
      <c r="N2280" s="13">
        <v>69</v>
      </c>
      <c r="O2280" s="15"/>
      <c r="P2280" s="6">
        <v>41385.54146990741</v>
      </c>
      <c r="Q2280" s="17" t="s">
        <v>4638</v>
      </c>
      <c r="R2280" s="18" t="s">
        <v>8223</v>
      </c>
      <c r="S2280" s="11" t="s">
        <v>8224</v>
      </c>
      <c r="T2280" s="12"/>
      <c r="U2280" s="10" t="str">
        <f>HYPERLINK("https://pbs.twimg.com/profile_images/960971237940965376/j3ZMhhtA.jpg","View")</f>
        <v>View</v>
      </c>
    </row>
    <row r="2281" spans="1:21" ht="30.6">
      <c r="A2281" s="6">
        <v>43426.581562499996</v>
      </c>
      <c r="B2281" s="7" t="str">
        <f>HYPERLINK("https://twitter.com/IsaHG1973","@IsaHG1973")</f>
        <v>@IsaHG1973</v>
      </c>
      <c r="C2281" s="8" t="s">
        <v>8225</v>
      </c>
      <c r="D2281" s="9" t="s">
        <v>5475</v>
      </c>
      <c r="E2281" s="10" t="str">
        <f>HYPERLINK("https://twitter.com/IsaHG1973/status/1065590081757409281","1065590081757409281")</f>
        <v>1065590081757409281</v>
      </c>
      <c r="F2281" s="11" t="s">
        <v>7037</v>
      </c>
      <c r="G2281" s="12"/>
      <c r="H2281" s="12"/>
      <c r="I2281" s="13">
        <v>0</v>
      </c>
      <c r="J2281" s="13">
        <v>0</v>
      </c>
      <c r="K2281" s="14" t="str">
        <f>HYPERLINK("http://www.facebook.com/twitter","Facebook")</f>
        <v>Facebook</v>
      </c>
      <c r="L2281" s="13">
        <v>3206</v>
      </c>
      <c r="M2281" s="13">
        <v>4978</v>
      </c>
      <c r="N2281" s="13">
        <v>128</v>
      </c>
      <c r="O2281" s="15"/>
      <c r="P2281" s="6">
        <v>41318.631990740745</v>
      </c>
      <c r="Q2281" s="17" t="s">
        <v>277</v>
      </c>
      <c r="R2281" s="18" t="s">
        <v>8226</v>
      </c>
      <c r="S2281" s="12"/>
      <c r="T2281" s="12"/>
      <c r="U2281" s="10" t="str">
        <f>HYPERLINK("https://pbs.twimg.com/profile_images/3248266799/5508282a9b682105d4197ecd9033935c.png","View")</f>
        <v>View</v>
      </c>
    </row>
    <row r="2282" spans="1:21" ht="20.399999999999999">
      <c r="A2282" s="6">
        <v>43426.581134259264</v>
      </c>
      <c r="B2282" s="7" t="str">
        <f>HYPERLINK("https://twitter.com/josep98491848","@josep98491848")</f>
        <v>@josep98491848</v>
      </c>
      <c r="C2282" s="8" t="s">
        <v>8227</v>
      </c>
      <c r="D2282" s="9" t="s">
        <v>8228</v>
      </c>
      <c r="E2282" s="10" t="str">
        <f>HYPERLINK("https://twitter.com/josep98491848/status/1065589926551539712","1065589926551539712")</f>
        <v>1065589926551539712</v>
      </c>
      <c r="F2282" s="11" t="s">
        <v>8229</v>
      </c>
      <c r="G2282" s="12"/>
      <c r="H2282" s="12"/>
      <c r="I2282" s="13">
        <v>0</v>
      </c>
      <c r="J2282" s="13">
        <v>0</v>
      </c>
      <c r="K2282" s="14" t="str">
        <f>HYPERLINK("http://twitter.com/download/iphone","Twitter for iPhone")</f>
        <v>Twitter for iPhone</v>
      </c>
      <c r="L2282" s="13">
        <v>154</v>
      </c>
      <c r="M2282" s="13">
        <v>809</v>
      </c>
      <c r="N2282" s="13">
        <v>0</v>
      </c>
      <c r="O2282" s="15"/>
      <c r="P2282" s="6">
        <v>43061.352488425924</v>
      </c>
      <c r="Q2282" s="17" t="s">
        <v>1096</v>
      </c>
      <c r="R2282" s="18" t="s">
        <v>8230</v>
      </c>
      <c r="S2282" s="12"/>
      <c r="T2282" s="12"/>
      <c r="U2282" s="10" t="str">
        <f>HYPERLINK("https://pbs.twimg.com/profile_images/933243156283273218/fzwxoIMW.jpg","View")</f>
        <v>View</v>
      </c>
    </row>
    <row r="2283" spans="1:21" ht="20.399999999999999">
      <c r="A2283" s="6">
        <v>43426.579930555556</v>
      </c>
      <c r="B2283" s="7" t="str">
        <f>HYPERLINK("https://twitter.com/picojgongora","@picojgongora")</f>
        <v>@picojgongora</v>
      </c>
      <c r="C2283" s="8" t="s">
        <v>8231</v>
      </c>
      <c r="D2283" s="9" t="s">
        <v>1143</v>
      </c>
      <c r="E2283" s="10" t="str">
        <f>HYPERLINK("https://twitter.com/picojgongora/status/1065589489106649088","1065589489106649088")</f>
        <v>1065589489106649088</v>
      </c>
      <c r="F2283" s="11" t="s">
        <v>8232</v>
      </c>
      <c r="G2283" s="12"/>
      <c r="H2283" s="12"/>
      <c r="I2283" s="13">
        <v>0</v>
      </c>
      <c r="J2283" s="13">
        <v>0</v>
      </c>
      <c r="K2283" s="14" t="str">
        <f t="shared" ref="K2283:K2284" si="370">HYPERLINK("http://twitter.com","Twitter Web Client")</f>
        <v>Twitter Web Client</v>
      </c>
      <c r="L2283" s="13">
        <v>34</v>
      </c>
      <c r="M2283" s="13">
        <v>32</v>
      </c>
      <c r="N2283" s="13">
        <v>0</v>
      </c>
      <c r="O2283" s="15"/>
      <c r="P2283" s="6">
        <v>40856.888067129628</v>
      </c>
      <c r="Q2283" s="17" t="s">
        <v>2205</v>
      </c>
      <c r="R2283" s="18" t="s">
        <v>8233</v>
      </c>
      <c r="S2283" s="11" t="s">
        <v>8234</v>
      </c>
      <c r="T2283" s="12"/>
      <c r="U2283" s="10" t="str">
        <f>HYPERLINK("https://pbs.twimg.com/profile_images/887782344123449344/PsJGxIG3.jpg","View")</f>
        <v>View</v>
      </c>
    </row>
    <row r="2284" spans="1:21" ht="51">
      <c r="A2284" s="6">
        <v>43426.579618055555</v>
      </c>
      <c r="B2284" s="7" t="str">
        <f>HYPERLINK("https://twitter.com/AbiertoForo","@AbiertoForo")</f>
        <v>@AbiertoForo</v>
      </c>
      <c r="C2284" s="8" t="s">
        <v>8235</v>
      </c>
      <c r="D2284" s="9" t="s">
        <v>8236</v>
      </c>
      <c r="E2284" s="10" t="str">
        <f>HYPERLINK("https://twitter.com/AbiertoForo/status/1065589374308573185","1065589374308573185")</f>
        <v>1065589374308573185</v>
      </c>
      <c r="F2284" s="12"/>
      <c r="G2284" s="12"/>
      <c r="H2284" s="12"/>
      <c r="I2284" s="13">
        <v>0</v>
      </c>
      <c r="J2284" s="13">
        <v>0</v>
      </c>
      <c r="K2284" s="14" t="str">
        <f t="shared" si="370"/>
        <v>Twitter Web Client</v>
      </c>
      <c r="L2284" s="13">
        <v>313</v>
      </c>
      <c r="M2284" s="13">
        <v>84</v>
      </c>
      <c r="N2284" s="13">
        <v>4</v>
      </c>
      <c r="O2284" s="15"/>
      <c r="P2284" s="6">
        <v>42844.835081018522</v>
      </c>
      <c r="Q2284" s="12"/>
      <c r="R2284" s="18" t="s">
        <v>8237</v>
      </c>
      <c r="S2284" s="12"/>
      <c r="T2284" s="12"/>
      <c r="U2284" s="10" t="str">
        <f>HYPERLINK("https://pbs.twimg.com/profile_images/854962625700134912/JHgAc3dA.jpg","View")</f>
        <v>View</v>
      </c>
    </row>
    <row r="2285" spans="1:21" ht="40.799999999999997">
      <c r="A2285" s="6">
        <v>43426.579270833332</v>
      </c>
      <c r="B2285" s="7" t="str">
        <f>HYPERLINK("https://twitter.com/24h_tve","@24h_tve")</f>
        <v>@24h_tve</v>
      </c>
      <c r="C2285" s="8" t="s">
        <v>3001</v>
      </c>
      <c r="D2285" s="9" t="s">
        <v>8238</v>
      </c>
      <c r="E2285" s="10" t="str">
        <f>HYPERLINK("https://twitter.com/24h_tve/status/1065589251583045632","1065589251583045632")</f>
        <v>1065589251583045632</v>
      </c>
      <c r="F2285" s="11" t="s">
        <v>8239</v>
      </c>
      <c r="G2285" s="11" t="s">
        <v>8240</v>
      </c>
      <c r="H2285" s="12"/>
      <c r="I2285" s="13">
        <v>16</v>
      </c>
      <c r="J2285" s="13">
        <v>12</v>
      </c>
      <c r="K2285" s="14" t="str">
        <f>HYPERLINK("http://snappytv.com","SnappyTV.com")</f>
        <v>SnappyTV.com</v>
      </c>
      <c r="L2285" s="13">
        <v>1294731</v>
      </c>
      <c r="M2285" s="13">
        <v>699</v>
      </c>
      <c r="N2285" s="13">
        <v>7928</v>
      </c>
      <c r="O2285" s="16" t="s">
        <v>26</v>
      </c>
      <c r="P2285" s="6">
        <v>39944.898831018516</v>
      </c>
      <c r="Q2285" s="12"/>
      <c r="R2285" s="18" t="s">
        <v>3003</v>
      </c>
      <c r="S2285" s="11" t="s">
        <v>3005</v>
      </c>
      <c r="T2285" s="12"/>
      <c r="U2285" s="10" t="str">
        <f>HYPERLINK("https://pbs.twimg.com/profile_images/1053217770387791872/fYDDQc0x.jpg","View")</f>
        <v>View</v>
      </c>
    </row>
    <row r="2286" spans="1:21" ht="40.799999999999997">
      <c r="A2286" s="6">
        <v>43426.578634259262</v>
      </c>
      <c r="B2286" s="7" t="str">
        <f>HYPERLINK("https://twitter.com/AlejoMiranda","@AlejoMiranda")</f>
        <v>@AlejoMiranda</v>
      </c>
      <c r="C2286" s="8" t="s">
        <v>8241</v>
      </c>
      <c r="D2286" s="9" t="s">
        <v>8242</v>
      </c>
      <c r="E2286" s="10" t="str">
        <f>HYPERLINK("https://twitter.com/AlejoMiranda/status/1065589017570353152","1065589017570353152")</f>
        <v>1065589017570353152</v>
      </c>
      <c r="F2286" s="12"/>
      <c r="G2286" s="11" t="s">
        <v>8243</v>
      </c>
      <c r="H2286" s="12"/>
      <c r="I2286" s="13">
        <v>1</v>
      </c>
      <c r="J2286" s="13">
        <v>4</v>
      </c>
      <c r="K2286" s="14" t="str">
        <f>HYPERLINK("http://twitter.com/download/iphone","Twitter for iPhone")</f>
        <v>Twitter for iPhone</v>
      </c>
      <c r="L2286" s="13">
        <v>1535</v>
      </c>
      <c r="M2286" s="13">
        <v>879</v>
      </c>
      <c r="N2286" s="13">
        <v>48</v>
      </c>
      <c r="O2286" s="15"/>
      <c r="P2286" s="6">
        <v>39817.176932870367</v>
      </c>
      <c r="Q2286" s="17" t="s">
        <v>27</v>
      </c>
      <c r="R2286" s="18" t="s">
        <v>8244</v>
      </c>
      <c r="S2286" s="12"/>
      <c r="T2286" s="12"/>
      <c r="U2286" s="10" t="str">
        <f>HYPERLINK("https://pbs.twimg.com/profile_images/1047998035127623680/LJ6DVQ5Z.jpg","View")</f>
        <v>View</v>
      </c>
    </row>
    <row r="2287" spans="1:21" ht="51">
      <c r="A2287" s="6">
        <v>43426.577708333338</v>
      </c>
      <c r="B2287" s="7" t="str">
        <f>HYPERLINK("https://twitter.com/JACAMPOSPALOMO","@JACAMPOSPALOMO")</f>
        <v>@JACAMPOSPALOMO</v>
      </c>
      <c r="C2287" s="8" t="s">
        <v>8245</v>
      </c>
      <c r="D2287" s="9" t="s">
        <v>8246</v>
      </c>
      <c r="E2287" s="10" t="str">
        <f>HYPERLINK("https://twitter.com/JACAMPOSPALOMO/status/1065588681866706944","1065588681866706944")</f>
        <v>1065588681866706944</v>
      </c>
      <c r="F2287" s="11" t="s">
        <v>8247</v>
      </c>
      <c r="G2287" s="12"/>
      <c r="H2287" s="12"/>
      <c r="I2287" s="13">
        <v>0</v>
      </c>
      <c r="J2287" s="13">
        <v>0</v>
      </c>
      <c r="K2287" s="14" t="str">
        <f>HYPERLINK("http://twitter.com/download/android","Twitter for Android")</f>
        <v>Twitter for Android</v>
      </c>
      <c r="L2287" s="13">
        <v>659</v>
      </c>
      <c r="M2287" s="13">
        <v>897</v>
      </c>
      <c r="N2287" s="13">
        <v>32</v>
      </c>
      <c r="O2287" s="15"/>
      <c r="P2287" s="6">
        <v>40654.628171296295</v>
      </c>
      <c r="Q2287" s="12"/>
      <c r="R2287" s="18" t="s">
        <v>8248</v>
      </c>
      <c r="S2287" s="11" t="s">
        <v>8249</v>
      </c>
      <c r="T2287" s="12"/>
      <c r="U2287" s="10" t="str">
        <f>HYPERLINK("https://pbs.twimg.com/profile_images/750108819326402560/iOaRPGWW.jpg","View")</f>
        <v>View</v>
      </c>
    </row>
    <row r="2288" spans="1:21" ht="51">
      <c r="A2288" s="6">
        <v>43426.577268518522</v>
      </c>
      <c r="B2288" s="7" t="str">
        <f>HYPERLINK("https://twitter.com/ppmadrid","@ppmadrid")</f>
        <v>@ppmadrid</v>
      </c>
      <c r="C2288" s="8" t="s">
        <v>6128</v>
      </c>
      <c r="D2288" s="9" t="s">
        <v>8250</v>
      </c>
      <c r="E2288" s="10" t="str">
        <f>HYPERLINK("https://twitter.com/ppmadrid/status/1065588525704388609","1065588525704388609")</f>
        <v>1065588525704388609</v>
      </c>
      <c r="F2288" s="11" t="s">
        <v>8251</v>
      </c>
      <c r="G2288" s="12"/>
      <c r="H2288" s="12"/>
      <c r="I2288" s="13">
        <v>37</v>
      </c>
      <c r="J2288" s="13">
        <v>44</v>
      </c>
      <c r="K2288" s="14" t="str">
        <f>HYPERLINK("http://twitter.com/download/iphone","Twitter for iPhone")</f>
        <v>Twitter for iPhone</v>
      </c>
      <c r="L2288" s="13">
        <v>101822</v>
      </c>
      <c r="M2288" s="13">
        <v>5999</v>
      </c>
      <c r="N2288" s="13">
        <v>979</v>
      </c>
      <c r="O2288" s="16" t="s">
        <v>26</v>
      </c>
      <c r="P2288" s="6">
        <v>39827.687893518516</v>
      </c>
      <c r="Q2288" s="17" t="s">
        <v>392</v>
      </c>
      <c r="R2288" s="18" t="s">
        <v>6131</v>
      </c>
      <c r="S2288" s="11" t="s">
        <v>6132</v>
      </c>
      <c r="T2288" s="12"/>
      <c r="U2288" s="10" t="str">
        <f>HYPERLINK("https://pbs.twimg.com/profile_images/1053557531111538693/SBAQ7f5C.jpg","View")</f>
        <v>View</v>
      </c>
    </row>
    <row r="2289" spans="1:21" ht="30.6">
      <c r="A2289" s="6">
        <v>43426.576504629629</v>
      </c>
      <c r="B2289" s="7" t="str">
        <f>HYPERLINK("https://twitter.com/AntConspirator","@AntConspirator")</f>
        <v>@AntConspirator</v>
      </c>
      <c r="C2289" s="8" t="s">
        <v>8252</v>
      </c>
      <c r="D2289" s="9" t="s">
        <v>8253</v>
      </c>
      <c r="E2289" s="10" t="str">
        <f>HYPERLINK("https://twitter.com/AntConspirator/status/1065588248049868810","1065588248049868810")</f>
        <v>1065588248049868810</v>
      </c>
      <c r="F2289" s="11" t="s">
        <v>8254</v>
      </c>
      <c r="G2289" s="11" t="s">
        <v>8255</v>
      </c>
      <c r="H2289" s="12"/>
      <c r="I2289" s="13">
        <v>0</v>
      </c>
      <c r="J2289" s="13">
        <v>0</v>
      </c>
      <c r="K2289" s="14" t="str">
        <f t="shared" ref="K2289:K2290" si="371">HYPERLINK("https://about.twitter.com/products/tweetdeck","TweetDeck")</f>
        <v>TweetDeck</v>
      </c>
      <c r="L2289" s="13">
        <v>5968</v>
      </c>
      <c r="M2289" s="13">
        <v>6023</v>
      </c>
      <c r="N2289" s="13">
        <v>17</v>
      </c>
      <c r="O2289" s="15"/>
      <c r="P2289" s="6">
        <v>41538.791932870372</v>
      </c>
      <c r="Q2289" s="12"/>
      <c r="R2289" s="18" t="s">
        <v>8256</v>
      </c>
      <c r="S2289" s="11" t="s">
        <v>8257</v>
      </c>
      <c r="T2289" s="12"/>
      <c r="U2289" s="10" t="str">
        <f>HYPERLINK("https://pbs.twimg.com/profile_images/378800000488253164/48dbcfe5bb60f7c36fffeb58f3153d3e.jpeg","View")</f>
        <v>View</v>
      </c>
    </row>
    <row r="2290" spans="1:21" ht="20.399999999999999">
      <c r="A2290" s="6">
        <v>43426.576342592598</v>
      </c>
      <c r="B2290" s="7" t="str">
        <f>HYPERLINK("https://twitter.com/WalkerActivist","@WalkerActivist")</f>
        <v>@WalkerActivist</v>
      </c>
      <c r="C2290" s="8" t="s">
        <v>8258</v>
      </c>
      <c r="D2290" s="9" t="s">
        <v>8253</v>
      </c>
      <c r="E2290" s="10" t="str">
        <f>HYPERLINK("https://twitter.com/WalkerActivist/status/1065588187723169792","1065588187723169792")</f>
        <v>1065588187723169792</v>
      </c>
      <c r="F2290" s="11" t="s">
        <v>8254</v>
      </c>
      <c r="G2290" s="11" t="s">
        <v>8259</v>
      </c>
      <c r="H2290" s="12"/>
      <c r="I2290" s="13">
        <v>0</v>
      </c>
      <c r="J2290" s="13">
        <v>0</v>
      </c>
      <c r="K2290" s="14" t="str">
        <f t="shared" si="371"/>
        <v>TweetDeck</v>
      </c>
      <c r="L2290" s="13">
        <v>6344</v>
      </c>
      <c r="M2290" s="13">
        <v>5918</v>
      </c>
      <c r="N2290" s="13">
        <v>29</v>
      </c>
      <c r="O2290" s="15"/>
      <c r="P2290" s="6">
        <v>41496.528321759259</v>
      </c>
      <c r="Q2290" s="12"/>
      <c r="R2290" s="18" t="s">
        <v>8260</v>
      </c>
      <c r="S2290" s="11" t="s">
        <v>8257</v>
      </c>
      <c r="T2290" s="12"/>
      <c r="U2290" s="10" t="str">
        <f>HYPERLINK("https://pbs.twimg.com/profile_images/378800000269038450/12b0e13fe9fcecacbd5021be46090f9d.jpeg","View")</f>
        <v>View</v>
      </c>
    </row>
    <row r="2291" spans="1:21" ht="40.799999999999997">
      <c r="A2291" s="6">
        <v>43426.575972222221</v>
      </c>
      <c r="B2291" s="7" t="str">
        <f>HYPERLINK("https://twitter.com/RubenMorenoPal","@RubenMorenoPal")</f>
        <v>@RubenMorenoPal</v>
      </c>
      <c r="C2291" s="8" t="s">
        <v>2432</v>
      </c>
      <c r="D2291" s="9" t="s">
        <v>1143</v>
      </c>
      <c r="E2291" s="10" t="str">
        <f>HYPERLINK("https://twitter.com/RubenMorenoPal/status/1065588054809878528","1065588054809878528")</f>
        <v>1065588054809878528</v>
      </c>
      <c r="F2291" s="11" t="s">
        <v>8261</v>
      </c>
      <c r="G2291" s="12"/>
      <c r="H2291" s="12"/>
      <c r="I2291" s="13">
        <v>1</v>
      </c>
      <c r="J2291" s="13">
        <v>0</v>
      </c>
      <c r="K2291" s="14" t="str">
        <f t="shared" ref="K2291:K2295" si="372">HYPERLINK("http://twitter.com","Twitter Web Client")</f>
        <v>Twitter Web Client</v>
      </c>
      <c r="L2291" s="13">
        <v>97</v>
      </c>
      <c r="M2291" s="13">
        <v>373</v>
      </c>
      <c r="N2291" s="13">
        <v>0</v>
      </c>
      <c r="O2291" s="15"/>
      <c r="P2291" s="6">
        <v>43411.94131944445</v>
      </c>
      <c r="Q2291" s="17" t="s">
        <v>810</v>
      </c>
      <c r="R2291" s="18" t="s">
        <v>2435</v>
      </c>
      <c r="S2291" s="11" t="s">
        <v>2436</v>
      </c>
      <c r="T2291" s="12"/>
      <c r="U2291" s="10" t="str">
        <f>HYPERLINK("https://pbs.twimg.com/profile_images/1060286128492822529/3RWDaKzc.jpg","View")</f>
        <v>View</v>
      </c>
    </row>
    <row r="2292" spans="1:21" ht="30.6">
      <c r="A2292" s="6">
        <v>43426.575497685189</v>
      </c>
      <c r="B2292" s="7" t="str">
        <f>HYPERLINK("https://twitter.com/odalyspaz","@odalyspaz")</f>
        <v>@odalyspaz</v>
      </c>
      <c r="C2292" s="8" t="s">
        <v>8262</v>
      </c>
      <c r="D2292" s="9" t="s">
        <v>8263</v>
      </c>
      <c r="E2292" s="10" t="str">
        <f>HYPERLINK("https://twitter.com/odalyspaz/status/1065587880788205568","1065587880788205568")</f>
        <v>1065587880788205568</v>
      </c>
      <c r="F2292" s="11" t="s">
        <v>4378</v>
      </c>
      <c r="G2292" s="12"/>
      <c r="H2292" s="12"/>
      <c r="I2292" s="13">
        <v>0</v>
      </c>
      <c r="J2292" s="13">
        <v>0</v>
      </c>
      <c r="K2292" s="14" t="str">
        <f t="shared" si="372"/>
        <v>Twitter Web Client</v>
      </c>
      <c r="L2292" s="13">
        <v>2378</v>
      </c>
      <c r="M2292" s="13">
        <v>4834</v>
      </c>
      <c r="N2292" s="13">
        <v>20</v>
      </c>
      <c r="O2292" s="15"/>
      <c r="P2292" s="6">
        <v>40547.682685185187</v>
      </c>
      <c r="Q2292" s="17" t="s">
        <v>8264</v>
      </c>
      <c r="R2292" s="18" t="s">
        <v>8265</v>
      </c>
      <c r="S2292" s="12"/>
      <c r="T2292" s="12"/>
      <c r="U2292" s="10" t="str">
        <f>HYPERLINK("https://pbs.twimg.com/profile_images/830060529800531969/HeI-gpg_.jpg","View")</f>
        <v>View</v>
      </c>
    </row>
    <row r="2293" spans="1:21" ht="30.6">
      <c r="A2293" s="6">
        <v>43426.574606481481</v>
      </c>
      <c r="B2293" s="7" t="str">
        <f>HYPERLINK("https://twitter.com/Cubamaintenant","@Cubamaintenant")</f>
        <v>@Cubamaintenant</v>
      </c>
      <c r="C2293" s="8" t="s">
        <v>6591</v>
      </c>
      <c r="D2293" s="9" t="s">
        <v>5055</v>
      </c>
      <c r="E2293" s="10" t="str">
        <f>HYPERLINK("https://twitter.com/Cubamaintenant/status/1065587560968318976","1065587560968318976")</f>
        <v>1065587560968318976</v>
      </c>
      <c r="F2293" s="11" t="s">
        <v>4378</v>
      </c>
      <c r="G2293" s="12"/>
      <c r="H2293" s="12"/>
      <c r="I2293" s="13">
        <v>0</v>
      </c>
      <c r="J2293" s="13">
        <v>0</v>
      </c>
      <c r="K2293" s="14" t="str">
        <f t="shared" si="372"/>
        <v>Twitter Web Client</v>
      </c>
      <c r="L2293" s="13">
        <v>1034</v>
      </c>
      <c r="M2293" s="13">
        <v>2482</v>
      </c>
      <c r="N2293" s="13">
        <v>6</v>
      </c>
      <c r="O2293" s="15"/>
      <c r="P2293" s="6">
        <v>41356.881157407406</v>
      </c>
      <c r="Q2293" s="17" t="s">
        <v>6595</v>
      </c>
      <c r="R2293" s="18" t="s">
        <v>6596</v>
      </c>
      <c r="S2293" s="11" t="s">
        <v>6597</v>
      </c>
      <c r="T2293" s="12"/>
      <c r="U2293" s="10" t="str">
        <f>HYPERLINK("https://pbs.twimg.com/profile_images/814906329995296768/PvCqBV5c.jpg","View")</f>
        <v>View</v>
      </c>
    </row>
    <row r="2294" spans="1:21" ht="30.6">
      <c r="A2294" s="6">
        <v>43426.574594907404</v>
      </c>
      <c r="B2294" s="7" t="str">
        <f>HYPERLINK("https://twitter.com/BoladeNudillos","@BoladeNudillos")</f>
        <v>@BoladeNudillos</v>
      </c>
      <c r="C2294" s="8" t="s">
        <v>8266</v>
      </c>
      <c r="D2294" s="9" t="s">
        <v>8267</v>
      </c>
      <c r="E2294" s="10" t="str">
        <f>HYPERLINK("https://twitter.com/BoladeNudillos/status/1065587554311962624","1065587554311962624")</f>
        <v>1065587554311962624</v>
      </c>
      <c r="F2294" s="11" t="s">
        <v>4378</v>
      </c>
      <c r="G2294" s="12"/>
      <c r="H2294" s="12"/>
      <c r="I2294" s="13">
        <v>0</v>
      </c>
      <c r="J2294" s="13">
        <v>0</v>
      </c>
      <c r="K2294" s="14" t="str">
        <f t="shared" si="372"/>
        <v>Twitter Web Client</v>
      </c>
      <c r="L2294" s="13">
        <v>2391</v>
      </c>
      <c r="M2294" s="13">
        <v>1853</v>
      </c>
      <c r="N2294" s="13">
        <v>36</v>
      </c>
      <c r="O2294" s="15"/>
      <c r="P2294" s="6">
        <v>40215.822523148148</v>
      </c>
      <c r="Q2294" s="17" t="s">
        <v>8268</v>
      </c>
      <c r="R2294" s="18" t="s">
        <v>8269</v>
      </c>
      <c r="S2294" s="12"/>
      <c r="T2294" s="12"/>
      <c r="U2294" s="10" t="str">
        <f>HYPERLINK("https://pbs.twimg.com/profile_images/1517879215/miboladenudillos.JPG_Avatar_1.JPG","View")</f>
        <v>View</v>
      </c>
    </row>
    <row r="2295" spans="1:21" ht="13.2">
      <c r="A2295" s="6">
        <v>43426.573344907403</v>
      </c>
      <c r="B2295" s="7" t="str">
        <f>HYPERLINK("https://twitter.com/Belda1954","@Belda1954")</f>
        <v>@Belda1954</v>
      </c>
      <c r="C2295" s="8" t="s">
        <v>1746</v>
      </c>
      <c r="D2295" s="9" t="s">
        <v>2091</v>
      </c>
      <c r="E2295" s="10" t="str">
        <f>HYPERLINK("https://twitter.com/Belda1954/status/1065587100412755969","1065587100412755969")</f>
        <v>1065587100412755969</v>
      </c>
      <c r="F2295" s="11" t="s">
        <v>2092</v>
      </c>
      <c r="G2295" s="12"/>
      <c r="H2295" s="12"/>
      <c r="I2295" s="13">
        <v>0</v>
      </c>
      <c r="J2295" s="13">
        <v>0</v>
      </c>
      <c r="K2295" s="14" t="str">
        <f t="shared" si="372"/>
        <v>Twitter Web Client</v>
      </c>
      <c r="L2295" s="13">
        <v>333</v>
      </c>
      <c r="M2295" s="13">
        <v>1031</v>
      </c>
      <c r="N2295" s="13">
        <v>7</v>
      </c>
      <c r="O2295" s="15"/>
      <c r="P2295" s="6">
        <v>40445.780740740738</v>
      </c>
      <c r="Q2295" s="17" t="s">
        <v>28</v>
      </c>
      <c r="R2295" s="18" t="s">
        <v>1747</v>
      </c>
      <c r="S2295" s="12"/>
      <c r="T2295" s="12"/>
      <c r="U2295" s="10" t="str">
        <f>HYPERLINK("https://pbs.twimg.com/profile_images/760042410126737408/0vT_CbAN.jpg","View")</f>
        <v>View</v>
      </c>
    </row>
    <row r="2296" spans="1:21" ht="51">
      <c r="A2296" s="6">
        <v>43426.572731481487</v>
      </c>
      <c r="B2296" s="7" t="str">
        <f>HYPERLINK("https://twitter.com/MariconDeEspana","@MariconDeEspana")</f>
        <v>@MariconDeEspana</v>
      </c>
      <c r="C2296" s="8" t="s">
        <v>8270</v>
      </c>
      <c r="D2296" s="9" t="s">
        <v>8271</v>
      </c>
      <c r="E2296" s="10" t="str">
        <f>HYPERLINK("https://twitter.com/MariconDeEspana/status/1065586879888859137","1065586879888859137")</f>
        <v>1065586879888859137</v>
      </c>
      <c r="F2296" s="12"/>
      <c r="G2296" s="11" t="s">
        <v>8272</v>
      </c>
      <c r="H2296" s="12"/>
      <c r="I2296" s="13">
        <v>3</v>
      </c>
      <c r="J2296" s="13">
        <v>5</v>
      </c>
      <c r="K2296" s="14" t="str">
        <f>HYPERLINK("http://twitter.com/download/android","Twitter for Android")</f>
        <v>Twitter for Android</v>
      </c>
      <c r="L2296" s="13">
        <v>993</v>
      </c>
      <c r="M2296" s="13">
        <v>531</v>
      </c>
      <c r="N2296" s="13">
        <v>10</v>
      </c>
      <c r="O2296" s="15"/>
      <c r="P2296" s="6">
        <v>42787.916851851856</v>
      </c>
      <c r="Q2296" s="17" t="s">
        <v>2155</v>
      </c>
      <c r="R2296" s="18" t="s">
        <v>8273</v>
      </c>
      <c r="S2296" s="11" t="s">
        <v>8274</v>
      </c>
      <c r="T2296" s="12"/>
      <c r="U2296" s="10" t="str">
        <f>HYPERLINK("https://pbs.twimg.com/profile_images/1040767401338564608/7eQPmDf2.jpg","View")</f>
        <v>View</v>
      </c>
    </row>
    <row r="2297" spans="1:21" ht="40.799999999999997">
      <c r="A2297" s="6">
        <v>43426.572465277779</v>
      </c>
      <c r="B2297" s="7" t="str">
        <f>HYPERLINK("https://twitter.com/LaTlaxiaquenaOn","@LaTlaxiaquenaOn")</f>
        <v>@LaTlaxiaquenaOn</v>
      </c>
      <c r="C2297" s="8" t="s">
        <v>1377</v>
      </c>
      <c r="D2297" s="9" t="s">
        <v>8275</v>
      </c>
      <c r="E2297" s="10" t="str">
        <f>HYPERLINK("https://twitter.com/LaTlaxiaquenaOn/status/1065586785177210880","1065586785177210880")</f>
        <v>1065586785177210880</v>
      </c>
      <c r="F2297" s="12"/>
      <c r="G2297" s="12"/>
      <c r="H2297" s="12"/>
      <c r="I2297" s="13">
        <v>0</v>
      </c>
      <c r="J2297" s="13">
        <v>0</v>
      </c>
      <c r="K2297" s="14" t="str">
        <f t="shared" ref="K2297:K2298" si="373">HYPERLINK("http://twitter.com","Twitter Web Client")</f>
        <v>Twitter Web Client</v>
      </c>
      <c r="L2297" s="13">
        <v>230</v>
      </c>
      <c r="M2297" s="13">
        <v>81</v>
      </c>
      <c r="N2297" s="13">
        <v>0</v>
      </c>
      <c r="O2297" s="15"/>
      <c r="P2297" s="6">
        <v>42916.550185185188</v>
      </c>
      <c r="Q2297" s="17" t="s">
        <v>1379</v>
      </c>
      <c r="R2297" s="18" t="s">
        <v>1380</v>
      </c>
      <c r="S2297" s="11" t="s">
        <v>1381</v>
      </c>
      <c r="T2297" s="12"/>
      <c r="U2297" s="10" t="str">
        <f>HYPERLINK("https://pbs.twimg.com/profile_images/880753670077284352/8RY1ZKvQ.jpg","View")</f>
        <v>View</v>
      </c>
    </row>
    <row r="2298" spans="1:21" ht="91.8">
      <c r="A2298" s="6">
        <v>43426.572025462963</v>
      </c>
      <c r="B2298" s="7" t="str">
        <f>HYPERLINK("https://twitter.com/jordibarcia","@jordibarcia")</f>
        <v>@jordibarcia</v>
      </c>
      <c r="C2298" s="8" t="s">
        <v>8276</v>
      </c>
      <c r="D2298" s="9" t="s">
        <v>8277</v>
      </c>
      <c r="E2298" s="10" t="str">
        <f>HYPERLINK("https://twitter.com/jordibarcia/status/1065586626255093760","1065586626255093760")</f>
        <v>1065586626255093760</v>
      </c>
      <c r="F2298" s="11" t="s">
        <v>8278</v>
      </c>
      <c r="G2298" s="11" t="s">
        <v>8279</v>
      </c>
      <c r="H2298" s="12"/>
      <c r="I2298" s="13">
        <v>1</v>
      </c>
      <c r="J2298" s="13">
        <v>1</v>
      </c>
      <c r="K2298" s="14" t="str">
        <f t="shared" si="373"/>
        <v>Twitter Web Client</v>
      </c>
      <c r="L2298" s="13">
        <v>2820</v>
      </c>
      <c r="M2298" s="13">
        <v>307</v>
      </c>
      <c r="N2298" s="13">
        <v>128</v>
      </c>
      <c r="O2298" s="16" t="s">
        <v>26</v>
      </c>
      <c r="P2298" s="6">
        <v>40269.671226851853</v>
      </c>
      <c r="Q2298" s="17" t="s">
        <v>6249</v>
      </c>
      <c r="R2298" s="18" t="s">
        <v>8280</v>
      </c>
      <c r="S2298" s="11" t="s">
        <v>8281</v>
      </c>
      <c r="T2298" s="12"/>
      <c r="U2298" s="10" t="str">
        <f>HYPERLINK("https://pbs.twimg.com/profile_images/3498894437/30cbdc5671a47a8428d382e0d7dd7fcf.jpeg","View")</f>
        <v>View</v>
      </c>
    </row>
    <row r="2299" spans="1:21" ht="40.799999999999997">
      <c r="A2299" s="6">
        <v>43426.571458333332</v>
      </c>
      <c r="B2299" s="7" t="str">
        <f>HYPERLINK("https://twitter.com/identidadycultu","@identidadycultu")</f>
        <v>@identidadycultu</v>
      </c>
      <c r="C2299" s="8" t="s">
        <v>8282</v>
      </c>
      <c r="D2299" s="9" t="s">
        <v>8283</v>
      </c>
      <c r="E2299" s="10" t="str">
        <f>HYPERLINK("https://twitter.com/identidadycultu/status/1065586418964201474","1065586418964201474")</f>
        <v>1065586418964201474</v>
      </c>
      <c r="F2299" s="12"/>
      <c r="G2299" s="12"/>
      <c r="H2299" s="12"/>
      <c r="I2299" s="13">
        <v>0</v>
      </c>
      <c r="J2299" s="13">
        <v>0</v>
      </c>
      <c r="K2299" s="14" t="str">
        <f>HYPERLINK("http://twitter.com/download/android","Twitter for Android")</f>
        <v>Twitter for Android</v>
      </c>
      <c r="L2299" s="13">
        <v>724</v>
      </c>
      <c r="M2299" s="13">
        <v>1687</v>
      </c>
      <c r="N2299" s="13">
        <v>18</v>
      </c>
      <c r="O2299" s="15"/>
      <c r="P2299" s="6">
        <v>41637.826793981483</v>
      </c>
      <c r="Q2299" s="17" t="s">
        <v>191</v>
      </c>
      <c r="R2299" s="18" t="s">
        <v>8284</v>
      </c>
      <c r="S2299" s="12"/>
      <c r="T2299" s="12"/>
      <c r="U2299" s="10" t="str">
        <f>HYPERLINK("https://pbs.twimg.com/profile_images/451430138626863104/TDxikj1O.jpeg","View")</f>
        <v>View</v>
      </c>
    </row>
    <row r="2300" spans="1:21" ht="30.6">
      <c r="A2300" s="6">
        <v>43426.570856481485</v>
      </c>
      <c r="B2300" s="7" t="str">
        <f>HYPERLINK("https://twitter.com/DiariodeCaracas","@DiariodeCaracas")</f>
        <v>@DiariodeCaracas</v>
      </c>
      <c r="C2300" s="8" t="s">
        <v>8285</v>
      </c>
      <c r="D2300" s="9" t="s">
        <v>8286</v>
      </c>
      <c r="E2300" s="10" t="str">
        <f>HYPERLINK("https://twitter.com/DiariodeCaracas/status/1065586200835182592","1065586200835182592")</f>
        <v>1065586200835182592</v>
      </c>
      <c r="F2300" s="11" t="s">
        <v>8287</v>
      </c>
      <c r="G2300" s="11" t="s">
        <v>8288</v>
      </c>
      <c r="H2300" s="12"/>
      <c r="I2300" s="13">
        <v>0</v>
      </c>
      <c r="J2300" s="13">
        <v>0</v>
      </c>
      <c r="K2300" s="14" t="str">
        <f>HYPERLINK("https://buffer.com","Buffer")</f>
        <v>Buffer</v>
      </c>
      <c r="L2300" s="13">
        <v>59632</v>
      </c>
      <c r="M2300" s="13">
        <v>383</v>
      </c>
      <c r="N2300" s="13">
        <v>633</v>
      </c>
      <c r="O2300" s="15"/>
      <c r="P2300" s="6">
        <v>40979.546412037038</v>
      </c>
      <c r="Q2300" s="17" t="s">
        <v>383</v>
      </c>
      <c r="R2300" s="18" t="s">
        <v>8289</v>
      </c>
      <c r="S2300" s="11" t="s">
        <v>8290</v>
      </c>
      <c r="T2300" s="12"/>
      <c r="U2300" s="10" t="str">
        <f>HYPERLINK("https://pbs.twimg.com/profile_images/648491435088547840/Tqm18jIJ.jpg","View")</f>
        <v>View</v>
      </c>
    </row>
    <row r="2301" spans="1:21" ht="30.6">
      <c r="A2301" s="6">
        <v>43426.5699537037</v>
      </c>
      <c r="B2301" s="7" t="str">
        <f>HYPERLINK("https://twitter.com/ManzanoCr","@ManzanoCr")</f>
        <v>@ManzanoCr</v>
      </c>
      <c r="C2301" s="8" t="s">
        <v>8122</v>
      </c>
      <c r="D2301" s="9" t="s">
        <v>8291</v>
      </c>
      <c r="E2301" s="10" t="str">
        <f>HYPERLINK("https://twitter.com/ManzanoCr/status/1065585872408641536","1065585872408641536")</f>
        <v>1065585872408641536</v>
      </c>
      <c r="F2301" s="11" t="s">
        <v>2035</v>
      </c>
      <c r="G2301" s="12"/>
      <c r="H2301" s="12"/>
      <c r="I2301" s="13">
        <v>0</v>
      </c>
      <c r="J2301" s="13">
        <v>0</v>
      </c>
      <c r="K2301" s="14" t="str">
        <f>HYPERLINK("http://twitter.com","Twitter Web Client")</f>
        <v>Twitter Web Client</v>
      </c>
      <c r="L2301" s="13">
        <v>4695</v>
      </c>
      <c r="M2301" s="13">
        <v>924</v>
      </c>
      <c r="N2301" s="13">
        <v>309</v>
      </c>
      <c r="O2301" s="15"/>
      <c r="P2301" s="6">
        <v>40969.900393518517</v>
      </c>
      <c r="Q2301" s="12"/>
      <c r="R2301" s="18" t="s">
        <v>8125</v>
      </c>
      <c r="S2301" s="11" t="s">
        <v>8126</v>
      </c>
      <c r="T2301" s="12"/>
      <c r="U2301" s="10" t="str">
        <f>HYPERLINK("https://pbs.twimg.com/profile_images/1865560115/cristina_1jpg.jpg","View")</f>
        <v>View</v>
      </c>
    </row>
    <row r="2302" spans="1:21" ht="40.799999999999997">
      <c r="A2302" s="6">
        <v>43426.569768518515</v>
      </c>
      <c r="B2302" s="7" t="str">
        <f>HYPERLINK("https://twitter.com/odonelorza2011","@odonelorza2011")</f>
        <v>@odonelorza2011</v>
      </c>
      <c r="C2302" s="8" t="s">
        <v>8292</v>
      </c>
      <c r="D2302" s="9" t="s">
        <v>8293</v>
      </c>
      <c r="E2302" s="10" t="str">
        <f>HYPERLINK("https://twitter.com/odonelorza2011/status/1065585806318854144","1065585806318854144")</f>
        <v>1065585806318854144</v>
      </c>
      <c r="F2302" s="12"/>
      <c r="G2302" s="11" t="s">
        <v>8294</v>
      </c>
      <c r="H2302" s="12"/>
      <c r="I2302" s="13">
        <v>30</v>
      </c>
      <c r="J2302" s="13">
        <v>40</v>
      </c>
      <c r="K2302" s="14" t="str">
        <f>HYPERLINK("http://twitter.com/#!/download/ipad","Twitter for iPad")</f>
        <v>Twitter for iPad</v>
      </c>
      <c r="L2302" s="13">
        <v>49784</v>
      </c>
      <c r="M2302" s="13">
        <v>6450</v>
      </c>
      <c r="N2302" s="13">
        <v>641</v>
      </c>
      <c r="O2302" s="16" t="s">
        <v>26</v>
      </c>
      <c r="P2302" s="6">
        <v>40652.554849537039</v>
      </c>
      <c r="Q2302" s="17" t="s">
        <v>8295</v>
      </c>
      <c r="R2302" s="18" t="s">
        <v>8296</v>
      </c>
      <c r="S2302" s="11" t="s">
        <v>8297</v>
      </c>
      <c r="T2302" s="12"/>
      <c r="U2302" s="10" t="str">
        <f>HYPERLINK("https://pbs.twimg.com/profile_images/929877600692047874/EEhLX6nK.jpg","View")</f>
        <v>View</v>
      </c>
    </row>
    <row r="2303" spans="1:21" ht="30.6">
      <c r="A2303" s="6">
        <v>43426.569687499999</v>
      </c>
      <c r="B2303" s="7" t="str">
        <f>HYPERLINK("https://twitter.com/jcarloslh","@jcarloslh")</f>
        <v>@jcarloslh</v>
      </c>
      <c r="C2303" s="8" t="s">
        <v>1528</v>
      </c>
      <c r="D2303" s="9" t="s">
        <v>8298</v>
      </c>
      <c r="E2303" s="10" t="str">
        <f>HYPERLINK("https://twitter.com/jcarloslh/status/1065585776778452993","1065585776778452993")</f>
        <v>1065585776778452993</v>
      </c>
      <c r="F2303" s="11" t="s">
        <v>753</v>
      </c>
      <c r="G2303" s="12"/>
      <c r="H2303" s="12"/>
      <c r="I2303" s="13">
        <v>0</v>
      </c>
      <c r="J2303" s="13">
        <v>0</v>
      </c>
      <c r="K2303" s="14" t="str">
        <f>HYPERLINK("http://www.facebook.com/twitter","Facebook")</f>
        <v>Facebook</v>
      </c>
      <c r="L2303" s="13">
        <v>186</v>
      </c>
      <c r="M2303" s="13">
        <v>190</v>
      </c>
      <c r="N2303" s="13">
        <v>9</v>
      </c>
      <c r="O2303" s="15"/>
      <c r="P2303" s="6">
        <v>40433.91541666667</v>
      </c>
      <c r="Q2303" s="17" t="s">
        <v>28</v>
      </c>
      <c r="R2303" s="19"/>
      <c r="S2303" s="12"/>
      <c r="T2303" s="12"/>
      <c r="U2303" s="10" t="str">
        <f>HYPERLINK("https://pbs.twimg.com/profile_images/3399813895/ffa75fdcb08baf5251d475f9fca4c818.jpeg","View")</f>
        <v>View</v>
      </c>
    </row>
    <row r="2304" spans="1:21" ht="51">
      <c r="A2304" s="6">
        <v>43426.569236111114</v>
      </c>
      <c r="B2304" s="7" t="str">
        <f>HYPERLINK("https://twitter.com/PedroRosillo3","@PedroRosillo3")</f>
        <v>@PedroRosillo3</v>
      </c>
      <c r="C2304" s="8" t="s">
        <v>8299</v>
      </c>
      <c r="D2304" s="9" t="s">
        <v>8300</v>
      </c>
      <c r="E2304" s="10" t="str">
        <f>HYPERLINK("https://twitter.com/PedroRosillo3/status/1065585612336623618","1065585612336623618")</f>
        <v>1065585612336623618</v>
      </c>
      <c r="F2304" s="11" t="s">
        <v>602</v>
      </c>
      <c r="G2304" s="12"/>
      <c r="H2304" s="12"/>
      <c r="I2304" s="13">
        <v>0</v>
      </c>
      <c r="J2304" s="13">
        <v>0</v>
      </c>
      <c r="K2304" s="14" t="str">
        <f>HYPERLINK("http://twitter.com/download/android","Twitter for Android")</f>
        <v>Twitter for Android</v>
      </c>
      <c r="L2304" s="13">
        <v>48</v>
      </c>
      <c r="M2304" s="13">
        <v>8</v>
      </c>
      <c r="N2304" s="13">
        <v>0</v>
      </c>
      <c r="O2304" s="15"/>
      <c r="P2304" s="6">
        <v>43298.448738425926</v>
      </c>
      <c r="Q2304" s="17" t="s">
        <v>28</v>
      </c>
      <c r="R2304" s="18" t="s">
        <v>8301</v>
      </c>
      <c r="S2304" s="11" t="s">
        <v>8302</v>
      </c>
      <c r="T2304" s="12"/>
      <c r="U2304" s="10" t="str">
        <f>HYPERLINK("https://pbs.twimg.com/profile_images/1019141441090670592/19OwHEwP.jpg","View")</f>
        <v>View</v>
      </c>
    </row>
    <row r="2305" spans="1:21" ht="30.6">
      <c r="A2305" s="6">
        <v>43426.568784722222</v>
      </c>
      <c r="B2305" s="7" t="str">
        <f>HYPERLINK("https://twitter.com/Merchemecky","@Merchemecky")</f>
        <v>@Merchemecky</v>
      </c>
      <c r="C2305" s="8" t="s">
        <v>8303</v>
      </c>
      <c r="D2305" s="9" t="s">
        <v>8304</v>
      </c>
      <c r="E2305" s="10" t="str">
        <f>HYPERLINK("https://twitter.com/Merchemecky/status/1065585448184090625","1065585448184090625")</f>
        <v>1065585448184090625</v>
      </c>
      <c r="F2305" s="11" t="s">
        <v>716</v>
      </c>
      <c r="G2305" s="12"/>
      <c r="H2305" s="12"/>
      <c r="I2305" s="13">
        <v>1</v>
      </c>
      <c r="J2305" s="13">
        <v>0</v>
      </c>
      <c r="K2305" s="14" t="str">
        <f>HYPERLINK("http://twitter.com/download/iphone","Twitter for iPhone")</f>
        <v>Twitter for iPhone</v>
      </c>
      <c r="L2305" s="13">
        <v>493</v>
      </c>
      <c r="M2305" s="13">
        <v>1549</v>
      </c>
      <c r="N2305" s="13">
        <v>9</v>
      </c>
      <c r="O2305" s="15"/>
      <c r="P2305" s="6">
        <v>40372.957187499997</v>
      </c>
      <c r="Q2305" s="12"/>
      <c r="R2305" s="19"/>
      <c r="S2305" s="12"/>
      <c r="T2305" s="12"/>
      <c r="U2305" s="10" t="str">
        <f>HYPERLINK("https://pbs.twimg.com/profile_images/1042407442087325696/5kV6pg_k.jpg","View")</f>
        <v>View</v>
      </c>
    </row>
    <row r="2306" spans="1:21" ht="40.799999999999997">
      <c r="A2306" s="6">
        <v>43426.568518518514</v>
      </c>
      <c r="B2306" s="7" t="str">
        <f>HYPERLINK("https://twitter.com/unperrolisto","@unperrolisto")</f>
        <v>@unperrolisto</v>
      </c>
      <c r="C2306" s="8" t="s">
        <v>8305</v>
      </c>
      <c r="D2306" s="9" t="s">
        <v>8306</v>
      </c>
      <c r="E2306" s="10" t="str">
        <f>HYPERLINK("https://twitter.com/unperrolisto/status/1065585353925582849","1065585353925582849")</f>
        <v>1065585353925582849</v>
      </c>
      <c r="F2306" s="12"/>
      <c r="G2306" s="12"/>
      <c r="H2306" s="12"/>
      <c r="I2306" s="13">
        <v>0</v>
      </c>
      <c r="J2306" s="13">
        <v>0</v>
      </c>
      <c r="K2306" s="14" t="str">
        <f>HYPERLINK("http://twitter.com/download/android","Twitter for Android")</f>
        <v>Twitter for Android</v>
      </c>
      <c r="L2306" s="13">
        <v>7</v>
      </c>
      <c r="M2306" s="13">
        <v>91</v>
      </c>
      <c r="N2306" s="13">
        <v>0</v>
      </c>
      <c r="O2306" s="15"/>
      <c r="P2306" s="6">
        <v>42409.336805555555</v>
      </c>
      <c r="Q2306" s="12"/>
      <c r="R2306" s="19"/>
      <c r="S2306" s="12"/>
      <c r="T2306" s="12"/>
      <c r="U2306" s="10" t="str">
        <f>HYPERLINK("https://pbs.twimg.com/profile_images/697020115548766208/IrFpjuAC.jpg","View")</f>
        <v>View</v>
      </c>
    </row>
    <row r="2307" spans="1:21" ht="20.399999999999999">
      <c r="A2307" s="6">
        <v>43426.568437499998</v>
      </c>
      <c r="B2307" s="7" t="str">
        <f>HYPERLINK("https://twitter.com/VictoriaHeitz","@VictoriaHeitz")</f>
        <v>@VictoriaHeitz</v>
      </c>
      <c r="C2307" s="8" t="s">
        <v>8307</v>
      </c>
      <c r="D2307" s="9" t="s">
        <v>5808</v>
      </c>
      <c r="E2307" s="10" t="str">
        <f>HYPERLINK("https://twitter.com/VictoriaHeitz/status/1065585325576212482","1065585325576212482")</f>
        <v>1065585325576212482</v>
      </c>
      <c r="F2307" s="11" t="s">
        <v>5809</v>
      </c>
      <c r="G2307" s="12"/>
      <c r="H2307" s="12"/>
      <c r="I2307" s="13">
        <v>0</v>
      </c>
      <c r="J2307" s="13">
        <v>1</v>
      </c>
      <c r="K2307" s="14" t="str">
        <f>HYPERLINK("http://twitter.com","Twitter Web Client")</f>
        <v>Twitter Web Client</v>
      </c>
      <c r="L2307" s="13">
        <v>312</v>
      </c>
      <c r="M2307" s="13">
        <v>337</v>
      </c>
      <c r="N2307" s="13">
        <v>23</v>
      </c>
      <c r="O2307" s="15"/>
      <c r="P2307" s="6">
        <v>40566.806006944447</v>
      </c>
      <c r="Q2307" s="12"/>
      <c r="R2307" s="19"/>
      <c r="S2307" s="11" t="s">
        <v>8308</v>
      </c>
      <c r="T2307" s="12"/>
      <c r="U2307" s="10" t="str">
        <f>HYPERLINK("https://pbs.twimg.com/profile_images/798590553696960512/VZFqJ1Qy.jpg","View")</f>
        <v>View</v>
      </c>
    </row>
    <row r="2308" spans="1:21" ht="40.799999999999997">
      <c r="A2308" s="6">
        <v>43426.568240740744</v>
      </c>
      <c r="B2308" s="7" t="str">
        <f>HYPERLINK("https://twitter.com/JavierOres","@JavierOres")</f>
        <v>@JavierOres</v>
      </c>
      <c r="C2308" s="8" t="s">
        <v>8309</v>
      </c>
      <c r="D2308" s="9" t="s">
        <v>8310</v>
      </c>
      <c r="E2308" s="10" t="str">
        <f>HYPERLINK("https://twitter.com/JavierOres/status/1065585253954330625","1065585253954330625")</f>
        <v>1065585253954330625</v>
      </c>
      <c r="F2308" s="12"/>
      <c r="G2308" s="12"/>
      <c r="H2308" s="12"/>
      <c r="I2308" s="13">
        <v>2</v>
      </c>
      <c r="J2308" s="13">
        <v>8</v>
      </c>
      <c r="K2308" s="14" t="str">
        <f t="shared" ref="K2308:K2310" si="374">HYPERLINK("http://twitter.com/download/android","Twitter for Android")</f>
        <v>Twitter for Android</v>
      </c>
      <c r="L2308" s="13">
        <v>381</v>
      </c>
      <c r="M2308" s="13">
        <v>534</v>
      </c>
      <c r="N2308" s="13">
        <v>5</v>
      </c>
      <c r="O2308" s="15"/>
      <c r="P2308" s="6">
        <v>43013.502523148149</v>
      </c>
      <c r="Q2308" s="17" t="s">
        <v>8311</v>
      </c>
      <c r="R2308" s="18" t="s">
        <v>8312</v>
      </c>
      <c r="S2308" s="12"/>
      <c r="T2308" s="12"/>
      <c r="U2308" s="10" t="str">
        <f>HYPERLINK("https://pbs.twimg.com/profile_images/1035638767984492545/IgczXdiE.jpg","View")</f>
        <v>View</v>
      </c>
    </row>
    <row r="2309" spans="1:21" ht="51">
      <c r="A2309" s="6">
        <v>43426.568171296298</v>
      </c>
      <c r="B2309" s="7" t="str">
        <f>HYPERLINK("https://twitter.com/compromtido22","@compromtido22")</f>
        <v>@compromtido22</v>
      </c>
      <c r="C2309" s="8" t="s">
        <v>5834</v>
      </c>
      <c r="D2309" s="9" t="s">
        <v>8313</v>
      </c>
      <c r="E2309" s="10" t="str">
        <f>HYPERLINK("https://twitter.com/compromtido22/status/1065585226645159936","1065585226645159936")</f>
        <v>1065585226645159936</v>
      </c>
      <c r="F2309" s="12"/>
      <c r="G2309" s="12"/>
      <c r="H2309" s="12"/>
      <c r="I2309" s="13">
        <v>0</v>
      </c>
      <c r="J2309" s="13">
        <v>0</v>
      </c>
      <c r="K2309" s="14" t="str">
        <f t="shared" si="374"/>
        <v>Twitter for Android</v>
      </c>
      <c r="L2309" s="13">
        <v>962</v>
      </c>
      <c r="M2309" s="13">
        <v>859</v>
      </c>
      <c r="N2309" s="13">
        <v>15</v>
      </c>
      <c r="O2309" s="15"/>
      <c r="P2309" s="6">
        <v>42411.832291666666</v>
      </c>
      <c r="Q2309" s="12"/>
      <c r="R2309" s="18" t="s">
        <v>5836</v>
      </c>
      <c r="S2309" s="12"/>
      <c r="T2309" s="12"/>
      <c r="U2309" s="10" t="str">
        <f>HYPERLINK("https://pbs.twimg.com/profile_images/1062806370267860993/RfSkyzB-.jpg","View")</f>
        <v>View</v>
      </c>
    </row>
    <row r="2310" spans="1:21" ht="40.799999999999997">
      <c r="A2310" s="6">
        <v>43426.568125000005</v>
      </c>
      <c r="B2310" s="7" t="str">
        <f>HYPERLINK("https://twitter.com/rmenchaca59","@rmenchaca59")</f>
        <v>@rmenchaca59</v>
      </c>
      <c r="C2310" s="8" t="s">
        <v>147</v>
      </c>
      <c r="D2310" s="9" t="s">
        <v>8314</v>
      </c>
      <c r="E2310" s="10" t="str">
        <f>HYPERLINK("https://twitter.com/rmenchaca59/status/1065585209360490496","1065585209360490496")</f>
        <v>1065585209360490496</v>
      </c>
      <c r="F2310" s="12"/>
      <c r="G2310" s="11" t="s">
        <v>8315</v>
      </c>
      <c r="H2310" s="12"/>
      <c r="I2310" s="13">
        <v>9</v>
      </c>
      <c r="J2310" s="13">
        <v>12</v>
      </c>
      <c r="K2310" s="14" t="str">
        <f t="shared" si="374"/>
        <v>Twitter for Android</v>
      </c>
      <c r="L2310" s="13">
        <v>150</v>
      </c>
      <c r="M2310" s="13">
        <v>87</v>
      </c>
      <c r="N2310" s="13">
        <v>5</v>
      </c>
      <c r="O2310" s="15"/>
      <c r="P2310" s="6">
        <v>43197.756284722222</v>
      </c>
      <c r="Q2310" s="17" t="s">
        <v>40</v>
      </c>
      <c r="R2310" s="18" t="s">
        <v>151</v>
      </c>
      <c r="S2310" s="11" t="s">
        <v>152</v>
      </c>
      <c r="T2310" s="12"/>
      <c r="U2310" s="10" t="str">
        <f>HYPERLINK("https://pbs.twimg.com/profile_images/982654487239081985/u5LRyGMY.jpg","View")</f>
        <v>View</v>
      </c>
    </row>
    <row r="2311" spans="1:21" ht="51">
      <c r="A2311" s="6">
        <v>43426.567662037036</v>
      </c>
      <c r="B2311" s="7" t="str">
        <f>HYPERLINK("https://twitter.com/info_pascual","@info_pascual")</f>
        <v>@info_pascual</v>
      </c>
      <c r="C2311" s="8" t="s">
        <v>8316</v>
      </c>
      <c r="D2311" s="9" t="s">
        <v>8317</v>
      </c>
      <c r="E2311" s="10" t="str">
        <f>HYPERLINK("https://twitter.com/info_pascual/status/1065585042951426049","1065585042951426049")</f>
        <v>1065585042951426049</v>
      </c>
      <c r="F2311" s="17" t="s">
        <v>8318</v>
      </c>
      <c r="G2311" s="12"/>
      <c r="H2311" s="12"/>
      <c r="I2311" s="13">
        <v>0</v>
      </c>
      <c r="J2311" s="13">
        <v>0</v>
      </c>
      <c r="K2311" s="14" t="str">
        <f>HYPERLINK("http://twitter.com","Twitter Web Client")</f>
        <v>Twitter Web Client</v>
      </c>
      <c r="L2311" s="13">
        <v>1032</v>
      </c>
      <c r="M2311" s="13">
        <v>963</v>
      </c>
      <c r="N2311" s="13">
        <v>28</v>
      </c>
      <c r="O2311" s="15"/>
      <c r="P2311" s="6">
        <v>41463.539884259255</v>
      </c>
      <c r="Q2311" s="12"/>
      <c r="R2311" s="18" t="s">
        <v>8319</v>
      </c>
      <c r="S2311" s="12"/>
      <c r="T2311" s="12"/>
      <c r="U2311" s="10" t="str">
        <f>HYPERLINK("https://pbs.twimg.com/profile_images/378800000861833243/gikUolZH.jpeg","View")</f>
        <v>View</v>
      </c>
    </row>
    <row r="2312" spans="1:21" ht="51">
      <c r="A2312" s="6">
        <v>43426.567511574074</v>
      </c>
      <c r="B2312" s="7" t="str">
        <f>HYPERLINK("https://twitter.com/ASAJAMURCIA","@ASAJAMURCIA")</f>
        <v>@ASAJAMURCIA</v>
      </c>
      <c r="C2312" s="8" t="s">
        <v>8320</v>
      </c>
      <c r="D2312" s="9" t="s">
        <v>8321</v>
      </c>
      <c r="E2312" s="10" t="str">
        <f>HYPERLINK("https://twitter.com/ASAJAMURCIA/status/1065584987448270848","1065584987448270848")</f>
        <v>1065584987448270848</v>
      </c>
      <c r="F2312" s="11" t="s">
        <v>8322</v>
      </c>
      <c r="G2312" s="12"/>
      <c r="H2312" s="12"/>
      <c r="I2312" s="13">
        <v>0</v>
      </c>
      <c r="J2312" s="13">
        <v>0</v>
      </c>
      <c r="K2312" s="14" t="str">
        <f>HYPERLINK("http://twitter.com/download/android","Twitter for Android")</f>
        <v>Twitter for Android</v>
      </c>
      <c r="L2312" s="13">
        <v>3509</v>
      </c>
      <c r="M2312" s="13">
        <v>1446</v>
      </c>
      <c r="N2312" s="13">
        <v>86</v>
      </c>
      <c r="O2312" s="15"/>
      <c r="P2312" s="6">
        <v>40737.504525462966</v>
      </c>
      <c r="Q2312" s="17" t="s">
        <v>8323</v>
      </c>
      <c r="R2312" s="18" t="s">
        <v>8324</v>
      </c>
      <c r="S2312" s="11" t="s">
        <v>8325</v>
      </c>
      <c r="T2312" s="12"/>
      <c r="U2312" s="10" t="str">
        <f>HYPERLINK("https://pbs.twimg.com/profile_images/984477746503053313/ROiMOd_I.jpg","View")</f>
        <v>View</v>
      </c>
    </row>
    <row r="2313" spans="1:21" ht="51">
      <c r="A2313" s="6">
        <v>43426.565625000003</v>
      </c>
      <c r="B2313" s="7" t="str">
        <f>HYPERLINK("https://twitter.com/quasimito","@quasimito")</f>
        <v>@quasimito</v>
      </c>
      <c r="C2313" s="8" t="s">
        <v>3447</v>
      </c>
      <c r="D2313" s="9" t="s">
        <v>8326</v>
      </c>
      <c r="E2313" s="10" t="str">
        <f>HYPERLINK("https://twitter.com/quasimito/status/1065584306259660802","1065584306259660802")</f>
        <v>1065584306259660802</v>
      </c>
      <c r="F2313" s="12"/>
      <c r="G2313" s="12"/>
      <c r="H2313" s="12"/>
      <c r="I2313" s="13">
        <v>0</v>
      </c>
      <c r="J2313" s="13">
        <v>2</v>
      </c>
      <c r="K2313" s="14" t="str">
        <f>HYPERLINK("http://twitter.com","Twitter Web Client")</f>
        <v>Twitter Web Client</v>
      </c>
      <c r="L2313" s="13">
        <v>1535</v>
      </c>
      <c r="M2313" s="13">
        <v>300</v>
      </c>
      <c r="N2313" s="13">
        <v>29</v>
      </c>
      <c r="O2313" s="15"/>
      <c r="P2313" s="6">
        <v>41432.991064814814</v>
      </c>
      <c r="Q2313" s="12"/>
      <c r="R2313" s="18" t="s">
        <v>3449</v>
      </c>
      <c r="S2313" s="12"/>
      <c r="T2313" s="12"/>
      <c r="U2313" s="10" t="str">
        <f>HYPERLINK("https://pbs.twimg.com/profile_images/1054490909394513920/4rNu_54-.jpg","View")</f>
        <v>View</v>
      </c>
    </row>
    <row r="2314" spans="1:21" ht="30.6">
      <c r="A2314" s="6">
        <v>43426.56527777778</v>
      </c>
      <c r="B2314" s="7" t="str">
        <f>HYPERLINK("https://twitter.com/Granma_Digital","@Granma_Digital")</f>
        <v>@Granma_Digital</v>
      </c>
      <c r="C2314" s="8" t="s">
        <v>4539</v>
      </c>
      <c r="D2314" s="9" t="s">
        <v>8327</v>
      </c>
      <c r="E2314" s="10" t="str">
        <f>HYPERLINK("https://twitter.com/Granma_Digital/status/1065584178316509184","1065584178316509184")</f>
        <v>1065584178316509184</v>
      </c>
      <c r="F2314" s="11" t="s">
        <v>8328</v>
      </c>
      <c r="G2314" s="12"/>
      <c r="H2314" s="12"/>
      <c r="I2314" s="13">
        <v>23</v>
      </c>
      <c r="J2314" s="13">
        <v>24</v>
      </c>
      <c r="K2314" s="14" t="str">
        <f>HYPERLINK("https://about.twitter.com/products/tweetdeck","TweetDeck")</f>
        <v>TweetDeck</v>
      </c>
      <c r="L2314" s="13">
        <v>141115</v>
      </c>
      <c r="M2314" s="13">
        <v>204</v>
      </c>
      <c r="N2314" s="13">
        <v>1777</v>
      </c>
      <c r="O2314" s="15"/>
      <c r="P2314" s="6">
        <v>40192.908460648148</v>
      </c>
      <c r="Q2314" s="17" t="s">
        <v>40</v>
      </c>
      <c r="R2314" s="18" t="s">
        <v>4543</v>
      </c>
      <c r="S2314" s="11" t="s">
        <v>4544</v>
      </c>
      <c r="T2314" s="12"/>
      <c r="U2314" s="10" t="str">
        <f>HYPERLINK("https://pbs.twimg.com/profile_images/812055630647177216/ZMJtpzvZ.jpg","View")</f>
        <v>View</v>
      </c>
    </row>
    <row r="2315" spans="1:21" ht="40.799999999999997">
      <c r="A2315" s="6">
        <v>43426.564652777779</v>
      </c>
      <c r="B2315" s="7" t="str">
        <f>HYPERLINK("https://twitter.com/Marina55160412","@Marina55160412")</f>
        <v>@Marina55160412</v>
      </c>
      <c r="C2315" s="8" t="s">
        <v>8329</v>
      </c>
      <c r="D2315" s="9" t="s">
        <v>8330</v>
      </c>
      <c r="E2315" s="10" t="str">
        <f>HYPERLINK("https://twitter.com/Marina55160412/status/1065583953216761856","1065583953216761856")</f>
        <v>1065583953216761856</v>
      </c>
      <c r="F2315" s="11" t="s">
        <v>8331</v>
      </c>
      <c r="G2315" s="12"/>
      <c r="H2315" s="12"/>
      <c r="I2315" s="13">
        <v>0</v>
      </c>
      <c r="J2315" s="13">
        <v>0</v>
      </c>
      <c r="K2315" s="14" t="str">
        <f t="shared" ref="K2315:K2316" si="375">HYPERLINK("http://twitter.com/download/iphone","Twitter for iPhone")</f>
        <v>Twitter for iPhone</v>
      </c>
      <c r="L2315" s="13">
        <v>76</v>
      </c>
      <c r="M2315" s="13">
        <v>125</v>
      </c>
      <c r="N2315" s="13">
        <v>0</v>
      </c>
      <c r="O2315" s="15"/>
      <c r="P2315" s="6">
        <v>43232.532476851848</v>
      </c>
      <c r="Q2315" s="17" t="s">
        <v>8332</v>
      </c>
      <c r="R2315" s="18" t="s">
        <v>8333</v>
      </c>
      <c r="S2315" s="12"/>
      <c r="T2315" s="12"/>
      <c r="U2315" s="10" t="str">
        <f>HYPERLINK("https://pbs.twimg.com/profile_images/1054352852049690625/5QoPBNPv.jpg","View")</f>
        <v>View</v>
      </c>
    </row>
    <row r="2316" spans="1:21" ht="40.799999999999997">
      <c r="A2316" s="6">
        <v>43426.56386574074</v>
      </c>
      <c r="B2316" s="7" t="str">
        <f>HYPERLINK("https://twitter.com/VMatterfilm","@VMatterfilm")</f>
        <v>@VMatterfilm</v>
      </c>
      <c r="C2316" s="8" t="s">
        <v>8334</v>
      </c>
      <c r="D2316" s="9" t="s">
        <v>8335</v>
      </c>
      <c r="E2316" s="10" t="str">
        <f>HYPERLINK("https://twitter.com/VMatterfilm/status/1065583668188639238","1065583668188639238")</f>
        <v>1065583668188639238</v>
      </c>
      <c r="F2316" s="12"/>
      <c r="G2316" s="12"/>
      <c r="H2316" s="12"/>
      <c r="I2316" s="13">
        <v>17</v>
      </c>
      <c r="J2316" s="13">
        <v>37</v>
      </c>
      <c r="K2316" s="14" t="str">
        <f t="shared" si="375"/>
        <v>Twitter for iPhone</v>
      </c>
      <c r="L2316" s="13">
        <v>30444</v>
      </c>
      <c r="M2316" s="13">
        <v>11115</v>
      </c>
      <c r="N2316" s="13">
        <v>328</v>
      </c>
      <c r="O2316" s="15"/>
      <c r="P2316" s="6">
        <v>40212.43167824074</v>
      </c>
      <c r="Q2316" s="17" t="s">
        <v>8336</v>
      </c>
      <c r="R2316" s="18" t="s">
        <v>8337</v>
      </c>
      <c r="S2316" s="11" t="s">
        <v>8338</v>
      </c>
      <c r="T2316" s="12"/>
      <c r="U2316" s="10" t="str">
        <f>HYPERLINK("https://pbs.twimg.com/profile_images/1052534491007205376/J1wjvqB2.jpg","View")</f>
        <v>View</v>
      </c>
    </row>
    <row r="2317" spans="1:21" ht="30.6">
      <c r="A2317" s="6">
        <v>43426.563703703709</v>
      </c>
      <c r="B2317" s="7" t="str">
        <f>HYPERLINK("https://twitter.com/Carlos_A_Paya","@Carlos_A_Paya")</f>
        <v>@Carlos_A_Paya</v>
      </c>
      <c r="C2317" s="8" t="s">
        <v>8339</v>
      </c>
      <c r="D2317" s="9" t="s">
        <v>8340</v>
      </c>
      <c r="E2317" s="10" t="str">
        <f>HYPERLINK("https://twitter.com/Carlos_A_Paya/status/1065583610441412608","1065583610441412608")</f>
        <v>1065583610441412608</v>
      </c>
      <c r="F2317" s="11" t="s">
        <v>8341</v>
      </c>
      <c r="G2317" s="11" t="s">
        <v>8342</v>
      </c>
      <c r="H2317" s="12"/>
      <c r="I2317" s="13">
        <v>4</v>
      </c>
      <c r="J2317" s="13">
        <v>1</v>
      </c>
      <c r="K2317" s="14" t="str">
        <f>HYPERLINK("http://twitter.com/download/android","Twitter for Android")</f>
        <v>Twitter for Android</v>
      </c>
      <c r="L2317" s="13">
        <v>104</v>
      </c>
      <c r="M2317" s="13">
        <v>6</v>
      </c>
      <c r="N2317" s="13">
        <v>2</v>
      </c>
      <c r="O2317" s="15"/>
      <c r="P2317" s="6">
        <v>42637.491145833337</v>
      </c>
      <c r="Q2317" s="12"/>
      <c r="R2317" s="18" t="s">
        <v>561</v>
      </c>
      <c r="S2317" s="12"/>
      <c r="T2317" s="12"/>
      <c r="U2317" s="10" t="str">
        <f>HYPERLINK("https://pbs.twimg.com/profile_images/827796243199950849/UeM1ex4t.jpg","View")</f>
        <v>View</v>
      </c>
    </row>
    <row r="2318" spans="1:21" ht="30.6">
      <c r="A2318" s="6">
        <v>43426.562824074077</v>
      </c>
      <c r="B2318" s="7" t="str">
        <f>HYPERLINK("https://twitter.com/sesametime_es","@sesametime_es")</f>
        <v>@sesametime_es</v>
      </c>
      <c r="C2318" s="8" t="s">
        <v>8343</v>
      </c>
      <c r="D2318" s="9" t="s">
        <v>8344</v>
      </c>
      <c r="E2318" s="10" t="str">
        <f>HYPERLINK("https://twitter.com/sesametime_es/status/1065583288566337536","1065583288566337536")</f>
        <v>1065583288566337536</v>
      </c>
      <c r="F2318" s="11" t="s">
        <v>8345</v>
      </c>
      <c r="G2318" s="11" t="s">
        <v>8346</v>
      </c>
      <c r="H2318" s="12"/>
      <c r="I2318" s="13">
        <v>0</v>
      </c>
      <c r="J2318" s="13">
        <v>0</v>
      </c>
      <c r="K2318" s="14" t="str">
        <f>HYPERLINK("https://www.hootsuite.com","Hootsuite Inc.")</f>
        <v>Hootsuite Inc.</v>
      </c>
      <c r="L2318" s="13">
        <v>367</v>
      </c>
      <c r="M2318" s="13">
        <v>1052</v>
      </c>
      <c r="N2318" s="13">
        <v>62</v>
      </c>
      <c r="O2318" s="15"/>
      <c r="P2318" s="6">
        <v>42116.736527777779</v>
      </c>
      <c r="Q2318" s="12"/>
      <c r="R2318" s="18" t="s">
        <v>8347</v>
      </c>
      <c r="S2318" s="11" t="s">
        <v>8348</v>
      </c>
      <c r="T2318" s="12"/>
      <c r="U2318" s="10" t="str">
        <f>HYPERLINK("https://pbs.twimg.com/profile_images/590904956078727169/cQUJmnEw.png","View")</f>
        <v>View</v>
      </c>
    </row>
    <row r="2319" spans="1:21" ht="30.6">
      <c r="A2319" s="6">
        <v>43426.5625</v>
      </c>
      <c r="B2319" s="7" t="str">
        <f>HYPERLINK("https://twitter.com/MCF_ES","@MCF_ES")</f>
        <v>@MCF_ES</v>
      </c>
      <c r="C2319" s="8" t="s">
        <v>8349</v>
      </c>
      <c r="D2319" s="9" t="s">
        <v>8350</v>
      </c>
      <c r="E2319" s="10" t="str">
        <f>HYPERLINK("https://twitter.com/MCF_ES/status/1065583173856305152","1065583173856305152")</f>
        <v>1065583173856305152</v>
      </c>
      <c r="F2319" s="11" t="s">
        <v>8351</v>
      </c>
      <c r="G2319" s="12"/>
      <c r="H2319" s="12"/>
      <c r="I2319" s="13">
        <v>0</v>
      </c>
      <c r="J2319" s="13">
        <v>0</v>
      </c>
      <c r="K2319" s="14" t="str">
        <f>HYPERLINK("https://buffer.com","Buffer")</f>
        <v>Buffer</v>
      </c>
      <c r="L2319" s="13">
        <v>423</v>
      </c>
      <c r="M2319" s="13">
        <v>482</v>
      </c>
      <c r="N2319" s="13">
        <v>7</v>
      </c>
      <c r="O2319" s="15"/>
      <c r="P2319" s="6">
        <v>43122.789456018523</v>
      </c>
      <c r="Q2319" s="17" t="s">
        <v>28</v>
      </c>
      <c r="R2319" s="18" t="s">
        <v>8352</v>
      </c>
      <c r="S2319" s="11" t="s">
        <v>8353</v>
      </c>
      <c r="T2319" s="12"/>
      <c r="U2319" s="10" t="str">
        <f>HYPERLINK("https://pbs.twimg.com/profile_images/964666499968495617/BqcONSCH.jpg","View")</f>
        <v>View</v>
      </c>
    </row>
    <row r="2320" spans="1:21" ht="51">
      <c r="A2320" s="6">
        <v>43426.562256944446</v>
      </c>
      <c r="B2320" s="7" t="str">
        <f>HYPERLINK("https://twitter.com/berege7","@berege7")</f>
        <v>@berege7</v>
      </c>
      <c r="C2320" s="8" t="s">
        <v>8354</v>
      </c>
      <c r="D2320" s="9" t="s">
        <v>8355</v>
      </c>
      <c r="E2320" s="10" t="str">
        <f>HYPERLINK("https://twitter.com/berege7/status/1065583083863384064","1065583083863384064")</f>
        <v>1065583083863384064</v>
      </c>
      <c r="F2320" s="11" t="s">
        <v>8356</v>
      </c>
      <c r="G2320" s="12"/>
      <c r="H2320" s="12"/>
      <c r="I2320" s="13">
        <v>48</v>
      </c>
      <c r="J2320" s="13">
        <v>44</v>
      </c>
      <c r="K2320" s="14" t="str">
        <f t="shared" ref="K2320:K2321" si="376">HYPERLINK("http://twitter.com/download/android","Twitter for Android")</f>
        <v>Twitter for Android</v>
      </c>
      <c r="L2320" s="13">
        <v>999</v>
      </c>
      <c r="M2320" s="13">
        <v>442</v>
      </c>
      <c r="N2320" s="13">
        <v>6</v>
      </c>
      <c r="O2320" s="15"/>
      <c r="P2320" s="6">
        <v>41541.922696759255</v>
      </c>
      <c r="Q2320" s="12"/>
      <c r="R2320" s="18" t="s">
        <v>8357</v>
      </c>
      <c r="S2320" s="12"/>
      <c r="T2320" s="12"/>
      <c r="U2320" s="10" t="str">
        <f>HYPERLINK("https://pbs.twimg.com/profile_images/715480688762294272/FdwNTDqL.jpg","View")</f>
        <v>View</v>
      </c>
    </row>
    <row r="2321" spans="1:21" ht="51">
      <c r="A2321" s="6">
        <v>43426.561678240745</v>
      </c>
      <c r="B2321" s="7" t="str">
        <f>HYPERLINK("https://twitter.com/ASAJAMURCIA","@ASAJAMURCIA")</f>
        <v>@ASAJAMURCIA</v>
      </c>
      <c r="C2321" s="8" t="s">
        <v>8320</v>
      </c>
      <c r="D2321" s="9" t="s">
        <v>8358</v>
      </c>
      <c r="E2321" s="10" t="str">
        <f>HYPERLINK("https://twitter.com/ASAJAMURCIA/status/1065582872537505792","1065582872537505792")</f>
        <v>1065582872537505792</v>
      </c>
      <c r="F2321" s="11" t="s">
        <v>8359</v>
      </c>
      <c r="G2321" s="12"/>
      <c r="H2321" s="12"/>
      <c r="I2321" s="13">
        <v>1</v>
      </c>
      <c r="J2321" s="13">
        <v>1</v>
      </c>
      <c r="K2321" s="14" t="str">
        <f t="shared" si="376"/>
        <v>Twitter for Android</v>
      </c>
      <c r="L2321" s="13">
        <v>3509</v>
      </c>
      <c r="M2321" s="13">
        <v>1446</v>
      </c>
      <c r="N2321" s="13">
        <v>86</v>
      </c>
      <c r="O2321" s="15"/>
      <c r="P2321" s="6">
        <v>40737.504525462966</v>
      </c>
      <c r="Q2321" s="17" t="s">
        <v>8323</v>
      </c>
      <c r="R2321" s="18" t="s">
        <v>8324</v>
      </c>
      <c r="S2321" s="11" t="s">
        <v>8325</v>
      </c>
      <c r="T2321" s="12"/>
      <c r="U2321" s="10" t="str">
        <f>HYPERLINK("https://pbs.twimg.com/profile_images/984477746503053313/ROiMOd_I.jpg","View")</f>
        <v>View</v>
      </c>
    </row>
    <row r="2322" spans="1:21" ht="20.399999999999999">
      <c r="A2322" s="6">
        <v>43426.56086805556</v>
      </c>
      <c r="B2322" s="7" t="str">
        <f>HYPERLINK("https://twitter.com/JavimaldonadoP","@JavimaldonadoP")</f>
        <v>@JavimaldonadoP</v>
      </c>
      <c r="C2322" s="8" t="s">
        <v>8360</v>
      </c>
      <c r="D2322" s="9" t="s">
        <v>8361</v>
      </c>
      <c r="E2322" s="10" t="str">
        <f>HYPERLINK("https://twitter.com/JavimaldonadoP/status/1065582582333607936","1065582582333607936")</f>
        <v>1065582582333607936</v>
      </c>
      <c r="F2322" s="12"/>
      <c r="G2322" s="12"/>
      <c r="H2322" s="12"/>
      <c r="I2322" s="13">
        <v>0</v>
      </c>
      <c r="J2322" s="13">
        <v>2</v>
      </c>
      <c r="K2322" s="14" t="str">
        <f>HYPERLINK("http://twitter.com/download/iphone","Twitter for iPhone")</f>
        <v>Twitter for iPhone</v>
      </c>
      <c r="L2322" s="13">
        <v>55</v>
      </c>
      <c r="M2322" s="13">
        <v>103</v>
      </c>
      <c r="N2322" s="13">
        <v>0</v>
      </c>
      <c r="O2322" s="15"/>
      <c r="P2322" s="6">
        <v>41410.547986111109</v>
      </c>
      <c r="Q2322" s="12"/>
      <c r="R2322" s="18" t="s">
        <v>8362</v>
      </c>
      <c r="S2322" s="12"/>
      <c r="T2322" s="12"/>
      <c r="U2322" s="10" t="str">
        <f>HYPERLINK("https://pbs.twimg.com/profile_images/569869490016759808/Xt31_bIk.jpeg","View")</f>
        <v>View</v>
      </c>
    </row>
    <row r="2323" spans="1:21" ht="51">
      <c r="A2323" s="6">
        <v>43426.560462962967</v>
      </c>
      <c r="B2323" s="7" t="str">
        <f>HYPERLINK("https://twitter.com/j_asanchez","@j_asanchez")</f>
        <v>@j_asanchez</v>
      </c>
      <c r="C2323" s="8" t="s">
        <v>8363</v>
      </c>
      <c r="D2323" s="9" t="s">
        <v>8364</v>
      </c>
      <c r="E2323" s="10" t="str">
        <f>HYPERLINK("https://twitter.com/j_asanchez/status/1065582434232795136","1065582434232795136")</f>
        <v>1065582434232795136</v>
      </c>
      <c r="F2323" s="12"/>
      <c r="G2323" s="12"/>
      <c r="H2323" s="12"/>
      <c r="I2323" s="13">
        <v>4</v>
      </c>
      <c r="J2323" s="13">
        <v>9</v>
      </c>
      <c r="K2323" s="14" t="str">
        <f>HYPERLINK("http://twitter.com","Twitter Web Client")</f>
        <v>Twitter Web Client</v>
      </c>
      <c r="L2323" s="13">
        <v>13636</v>
      </c>
      <c r="M2323" s="13">
        <v>9950</v>
      </c>
      <c r="N2323" s="13">
        <v>107</v>
      </c>
      <c r="O2323" s="16" t="s">
        <v>26</v>
      </c>
      <c r="P2323" s="6">
        <v>40606.849629629629</v>
      </c>
      <c r="Q2323" s="17" t="s">
        <v>8365</v>
      </c>
      <c r="R2323" s="18" t="s">
        <v>8366</v>
      </c>
      <c r="S2323" s="11" t="s">
        <v>898</v>
      </c>
      <c r="T2323" s="12"/>
      <c r="U2323" s="10" t="str">
        <f>HYPERLINK("https://pbs.twimg.com/profile_images/1054641052253147137/7UXw_OX7.jpg","View")</f>
        <v>View</v>
      </c>
    </row>
    <row r="2324" spans="1:21" ht="20.399999999999999">
      <c r="A2324" s="6">
        <v>43426.560196759259</v>
      </c>
      <c r="B2324" s="7" t="str">
        <f>HYPERLINK("https://twitter.com/RadioNeXX","@RadioNeXX")</f>
        <v>@RadioNeXX</v>
      </c>
      <c r="C2324" s="8" t="s">
        <v>257</v>
      </c>
      <c r="D2324" s="9" t="s">
        <v>593</v>
      </c>
      <c r="E2324" s="10" t="str">
        <f>HYPERLINK("https://twitter.com/RadioNeXX/status/1065582335905525760","1065582335905525760")</f>
        <v>1065582335905525760</v>
      </c>
      <c r="F2324" s="11" t="s">
        <v>596</v>
      </c>
      <c r="G2324" s="11" t="s">
        <v>597</v>
      </c>
      <c r="H2324" s="12"/>
      <c r="I2324" s="13">
        <v>0</v>
      </c>
      <c r="J2324" s="13">
        <v>0</v>
      </c>
      <c r="K2324" s="14" t="str">
        <f>HYPERLINK("https://dlvrit.com/","dlvr.it")</f>
        <v>dlvr.it</v>
      </c>
      <c r="L2324" s="13">
        <v>86280</v>
      </c>
      <c r="M2324" s="13">
        <v>1462</v>
      </c>
      <c r="N2324" s="13">
        <v>784</v>
      </c>
      <c r="O2324" s="15"/>
      <c r="P2324" s="6">
        <v>39999.134780092594</v>
      </c>
      <c r="Q2324" s="17" t="s">
        <v>264</v>
      </c>
      <c r="R2324" s="18" t="s">
        <v>266</v>
      </c>
      <c r="S2324" s="11" t="s">
        <v>268</v>
      </c>
      <c r="T2324" s="12"/>
      <c r="U2324" s="10" t="str">
        <f>HYPERLINK("https://pbs.twimg.com/profile_images/1487192442/avatar-twitter2.png","View")</f>
        <v>View</v>
      </c>
    </row>
    <row r="2325" spans="1:21" ht="20.399999999999999">
      <c r="A2325" s="6">
        <v>43426.55940972222</v>
      </c>
      <c r="B2325" s="7" t="str">
        <f>HYPERLINK("https://twitter.com/Cubaeco","@Cubaeco")</f>
        <v>@Cubaeco</v>
      </c>
      <c r="C2325" s="20" t="s">
        <v>8367</v>
      </c>
      <c r="D2325" s="9" t="s">
        <v>8368</v>
      </c>
      <c r="E2325" s="10" t="str">
        <f>HYPERLINK("https://twitter.com/Cubaeco/status/1065582051934515200","1065582051934515200")</f>
        <v>1065582051934515200</v>
      </c>
      <c r="F2325" s="11" t="s">
        <v>8369</v>
      </c>
      <c r="G2325" s="12"/>
      <c r="H2325" s="12"/>
      <c r="I2325" s="13">
        <v>0</v>
      </c>
      <c r="J2325" s="13">
        <v>0</v>
      </c>
      <c r="K2325" s="14" t="str">
        <f>HYPERLINK("http://twitter.com","Twitter Web Client")</f>
        <v>Twitter Web Client</v>
      </c>
      <c r="L2325" s="13">
        <v>35</v>
      </c>
      <c r="M2325" s="13">
        <v>31</v>
      </c>
      <c r="N2325" s="13">
        <v>1</v>
      </c>
      <c r="O2325" s="15"/>
      <c r="P2325" s="6">
        <v>40736.613993055558</v>
      </c>
      <c r="Q2325" s="12"/>
      <c r="R2325" s="19"/>
      <c r="S2325" s="12"/>
      <c r="T2325" s="12"/>
      <c r="U2325" s="10" t="str">
        <f>HYPERLINK("https://pbs.twimg.com/profile_images/935437603796602881/p9MSy7rz.jpg","View")</f>
        <v>View</v>
      </c>
    </row>
    <row r="2326" spans="1:21" ht="20.399999999999999">
      <c r="A2326" s="6">
        <v>43426.558495370366</v>
      </c>
      <c r="B2326" s="7" t="str">
        <f>HYPERLINK("https://twitter.com/notideamerica","@notideamerica")</f>
        <v>@notideamerica</v>
      </c>
      <c r="C2326" s="8" t="s">
        <v>8370</v>
      </c>
      <c r="D2326" s="9" t="s">
        <v>8371</v>
      </c>
      <c r="E2326" s="10" t="str">
        <f>HYPERLINK("https://twitter.com/notideamerica/status/1065581719179407360","1065581719179407360")</f>
        <v>1065581719179407360</v>
      </c>
      <c r="F2326" s="11" t="s">
        <v>8372</v>
      </c>
      <c r="G2326" s="12"/>
      <c r="H2326" s="12"/>
      <c r="I2326" s="13">
        <v>0</v>
      </c>
      <c r="J2326" s="13">
        <v>0</v>
      </c>
      <c r="K2326" s="14" t="str">
        <f>HYPERLINK("https://ifttt.com","IFTTT")</f>
        <v>IFTTT</v>
      </c>
      <c r="L2326" s="13">
        <v>750</v>
      </c>
      <c r="M2326" s="13">
        <v>452</v>
      </c>
      <c r="N2326" s="13">
        <v>11</v>
      </c>
      <c r="O2326" s="15"/>
      <c r="P2326" s="6">
        <v>41497.981469907405</v>
      </c>
      <c r="Q2326" s="17" t="s">
        <v>8373</v>
      </c>
      <c r="R2326" s="18" t="s">
        <v>8374</v>
      </c>
      <c r="S2326" s="12"/>
      <c r="T2326" s="12"/>
      <c r="U2326" s="10" t="str">
        <f>HYPERLINK("https://pbs.twimg.com/profile_images/584483769605816320/Dc7dHdES.jpg","View")</f>
        <v>View</v>
      </c>
    </row>
    <row r="2327" spans="1:21" ht="51">
      <c r="A2327" s="6">
        <v>43426.557962962965</v>
      </c>
      <c r="B2327" s="7" t="str">
        <f>HYPERLINK("https://twitter.com/MonseorPlatinu2","@MonseorPlatinu2")</f>
        <v>@MonseorPlatinu2</v>
      </c>
      <c r="C2327" s="8" t="s">
        <v>8375</v>
      </c>
      <c r="D2327" s="9" t="s">
        <v>8376</v>
      </c>
      <c r="E2327" s="10" t="str">
        <f>HYPERLINK("https://twitter.com/MonseorPlatinu2/status/1065581526874755073","1065581526874755073")</f>
        <v>1065581526874755073</v>
      </c>
      <c r="F2327" s="12"/>
      <c r="G2327" s="12"/>
      <c r="H2327" s="12"/>
      <c r="I2327" s="13">
        <v>0</v>
      </c>
      <c r="J2327" s="13">
        <v>0</v>
      </c>
      <c r="K2327" s="14" t="str">
        <f>HYPERLINK("http://twitter.com/download/android","Twitter for Android")</f>
        <v>Twitter for Android</v>
      </c>
      <c r="L2327" s="13">
        <v>91</v>
      </c>
      <c r="M2327" s="13">
        <v>83</v>
      </c>
      <c r="N2327" s="13">
        <v>0</v>
      </c>
      <c r="O2327" s="15"/>
      <c r="P2327" s="6">
        <v>43287.869050925925</v>
      </c>
      <c r="Q2327" s="17" t="s">
        <v>8377</v>
      </c>
      <c r="R2327" s="18" t="s">
        <v>8378</v>
      </c>
      <c r="S2327" s="12"/>
      <c r="T2327" s="12"/>
      <c r="U2327" s="10" t="str">
        <f>HYPERLINK("https://pbs.twimg.com/profile_images/1021327538927423488/7wcl8knO.jpg","View")</f>
        <v>View</v>
      </c>
    </row>
    <row r="2328" spans="1:21" ht="20.399999999999999">
      <c r="A2328" s="6">
        <v>43426.55773148148</v>
      </c>
      <c r="B2328" s="7" t="str">
        <f>HYPERLINK("https://twitter.com/francis48851752","@francis48851752")</f>
        <v>@francis48851752</v>
      </c>
      <c r="C2328" s="8" t="s">
        <v>8379</v>
      </c>
      <c r="D2328" s="9" t="s">
        <v>8380</v>
      </c>
      <c r="E2328" s="10" t="str">
        <f>HYPERLINK("https://twitter.com/francis48851752/status/1065581445803061248","1065581445803061248")</f>
        <v>1065581445803061248</v>
      </c>
      <c r="F2328" s="11" t="s">
        <v>6839</v>
      </c>
      <c r="G2328" s="12"/>
      <c r="H2328" s="12"/>
      <c r="I2328" s="13">
        <v>0</v>
      </c>
      <c r="J2328" s="13">
        <v>0</v>
      </c>
      <c r="K2328" s="14" t="str">
        <f>HYPERLINK("http://twitter.com/download/iphone","Twitter for iPhone")</f>
        <v>Twitter for iPhone</v>
      </c>
      <c r="L2328" s="13">
        <v>5</v>
      </c>
      <c r="M2328" s="13">
        <v>16</v>
      </c>
      <c r="N2328" s="13">
        <v>0</v>
      </c>
      <c r="O2328" s="15"/>
      <c r="P2328" s="6">
        <v>43243.452708333338</v>
      </c>
      <c r="Q2328" s="17" t="s">
        <v>8381</v>
      </c>
      <c r="R2328" s="18" t="s">
        <v>8382</v>
      </c>
      <c r="S2328" s="12"/>
      <c r="T2328" s="12"/>
      <c r="U2328" s="16" t="s">
        <v>373</v>
      </c>
    </row>
    <row r="2329" spans="1:21" ht="40.799999999999997">
      <c r="A2329" s="6">
        <v>43426.557164351849</v>
      </c>
      <c r="B2329" s="7" t="str">
        <f>HYPERLINK("https://twitter.com/norcatalan","@norcatalan")</f>
        <v>@norcatalan</v>
      </c>
      <c r="C2329" s="8" t="s">
        <v>8383</v>
      </c>
      <c r="D2329" s="9" t="s">
        <v>8384</v>
      </c>
      <c r="E2329" s="10" t="str">
        <f>HYPERLINK("https://twitter.com/norcatalan/status/1065581238663213058","1065581238663213058")</f>
        <v>1065581238663213058</v>
      </c>
      <c r="F2329" s="12"/>
      <c r="G2329" s="12"/>
      <c r="H2329" s="12"/>
      <c r="I2329" s="13">
        <v>25</v>
      </c>
      <c r="J2329" s="13">
        <v>100</v>
      </c>
      <c r="K2329" s="14" t="str">
        <f>HYPERLINK("https://about.twitter.com/products/tweetdeck","TweetDeck")</f>
        <v>TweetDeck</v>
      </c>
      <c r="L2329" s="13">
        <v>13604</v>
      </c>
      <c r="M2329" s="13">
        <v>18</v>
      </c>
      <c r="N2329" s="13">
        <v>46</v>
      </c>
      <c r="O2329" s="15"/>
      <c r="P2329" s="6">
        <v>43032.844004629631</v>
      </c>
      <c r="Q2329" s="17" t="s">
        <v>8385</v>
      </c>
      <c r="R2329" s="18" t="s">
        <v>8386</v>
      </c>
      <c r="S2329" s="11" t="s">
        <v>8387</v>
      </c>
      <c r="T2329" s="12"/>
      <c r="U2329" s="10" t="str">
        <f>HYPERLINK("https://pbs.twimg.com/profile_images/922896848737665024/2txos7aK.jpg","View")</f>
        <v>View</v>
      </c>
    </row>
    <row r="2330" spans="1:21" ht="51">
      <c r="A2330" s="6">
        <v>43426.557002314818</v>
      </c>
      <c r="B2330" s="7" t="str">
        <f>HYPERLINK("https://twitter.com/ElMundo_Madrid","@ElMundo_Madrid")</f>
        <v>@ElMundo_Madrid</v>
      </c>
      <c r="C2330" s="8" t="s">
        <v>8388</v>
      </c>
      <c r="D2330" s="9" t="s">
        <v>8389</v>
      </c>
      <c r="E2330" s="10" t="str">
        <f>HYPERLINK("https://twitter.com/ElMundo_Madrid/status/1065581179607412742","1065581179607412742")</f>
        <v>1065581179607412742</v>
      </c>
      <c r="F2330" s="11" t="s">
        <v>8390</v>
      </c>
      <c r="G2330" s="12"/>
      <c r="H2330" s="12"/>
      <c r="I2330" s="13">
        <v>0</v>
      </c>
      <c r="J2330" s="13">
        <v>0</v>
      </c>
      <c r="K2330" s="14" t="str">
        <f>HYPERLINK("http://twitter.com","Twitter Web Client")</f>
        <v>Twitter Web Client</v>
      </c>
      <c r="L2330" s="13">
        <v>23739</v>
      </c>
      <c r="M2330" s="13">
        <v>947</v>
      </c>
      <c r="N2330" s="13">
        <v>592</v>
      </c>
      <c r="O2330" s="15"/>
      <c r="P2330" s="6">
        <v>40203.557546296295</v>
      </c>
      <c r="Q2330" s="17" t="s">
        <v>141</v>
      </c>
      <c r="R2330" s="18" t="s">
        <v>8391</v>
      </c>
      <c r="S2330" s="11" t="s">
        <v>8392</v>
      </c>
      <c r="T2330" s="12"/>
      <c r="U2330" s="10" t="str">
        <f>HYPERLINK("https://pbs.twimg.com/profile_images/930047195310632960/1PL9zA_H.jpg","View")</f>
        <v>View</v>
      </c>
    </row>
    <row r="2331" spans="1:21" ht="20.399999999999999">
      <c r="A2331" s="6">
        <v>43426.556435185186</v>
      </c>
      <c r="B2331" s="7" t="str">
        <f>HYPERLINK("https://twitter.com/georgeorwell67","@georgeorwell67")</f>
        <v>@georgeorwell67</v>
      </c>
      <c r="C2331" s="8" t="s">
        <v>8393</v>
      </c>
      <c r="D2331" s="9" t="s">
        <v>8394</v>
      </c>
      <c r="E2331" s="10" t="str">
        <f>HYPERLINK("https://twitter.com/georgeorwell67/status/1065580974833102848","1065580974833102848")</f>
        <v>1065580974833102848</v>
      </c>
      <c r="F2331" s="11" t="s">
        <v>8395</v>
      </c>
      <c r="G2331" s="12"/>
      <c r="H2331" s="12"/>
      <c r="I2331" s="13">
        <v>4</v>
      </c>
      <c r="J2331" s="13">
        <v>3</v>
      </c>
      <c r="K2331" s="14" t="str">
        <f>HYPERLINK("https://ifttt.com","IFTTT")</f>
        <v>IFTTT</v>
      </c>
      <c r="L2331" s="13">
        <v>432</v>
      </c>
      <c r="M2331" s="13">
        <v>551</v>
      </c>
      <c r="N2331" s="13">
        <v>3</v>
      </c>
      <c r="O2331" s="15"/>
      <c r="P2331" s="6">
        <v>43016.365393518514</v>
      </c>
      <c r="Q2331" s="12"/>
      <c r="R2331" s="18" t="s">
        <v>8396</v>
      </c>
      <c r="S2331" s="11" t="s">
        <v>8397</v>
      </c>
      <c r="T2331" s="12"/>
      <c r="U2331" s="10" t="str">
        <f>HYPERLINK("https://pbs.twimg.com/profile_images/916919096771571712/VCjSBSiy.jpg","View")</f>
        <v>View</v>
      </c>
    </row>
    <row r="2332" spans="1:21" ht="30.6">
      <c r="A2332" s="6">
        <v>43426.556435185186</v>
      </c>
      <c r="B2332" s="7" t="str">
        <f>HYPERLINK("https://twitter.com/SaulTrend","@SaulTrend")</f>
        <v>@SaulTrend</v>
      </c>
      <c r="C2332" s="8" t="s">
        <v>8398</v>
      </c>
      <c r="D2332" s="9" t="s">
        <v>8399</v>
      </c>
      <c r="E2332" s="10" t="str">
        <f>HYPERLINK("https://twitter.com/SaulTrend/status/1065580973356654592","1065580973356654592")</f>
        <v>1065580973356654592</v>
      </c>
      <c r="F2332" s="12"/>
      <c r="G2332" s="11" t="s">
        <v>8400</v>
      </c>
      <c r="H2332" s="12"/>
      <c r="I2332" s="13">
        <v>0</v>
      </c>
      <c r="J2332" s="13">
        <v>0</v>
      </c>
      <c r="K2332" s="14" t="str">
        <f>HYPERLINK("http://twitter.com/download/android","Twitter for Android")</f>
        <v>Twitter for Android</v>
      </c>
      <c r="L2332" s="13">
        <v>60</v>
      </c>
      <c r="M2332" s="13">
        <v>141</v>
      </c>
      <c r="N2332" s="13">
        <v>1</v>
      </c>
      <c r="O2332" s="15"/>
      <c r="P2332" s="6">
        <v>43410.311006944445</v>
      </c>
      <c r="Q2332" s="12"/>
      <c r="R2332" s="18" t="s">
        <v>8401</v>
      </c>
      <c r="S2332" s="12"/>
      <c r="T2332" s="12"/>
      <c r="U2332" s="10" t="str">
        <f>HYPERLINK("https://pbs.twimg.com/profile_images/1059701798435459072/Jym7Ss0n.jpg","View")</f>
        <v>View</v>
      </c>
    </row>
    <row r="2333" spans="1:21" ht="40.799999999999997">
      <c r="A2333" s="6">
        <v>43426.555555555555</v>
      </c>
      <c r="B2333" s="7" t="str">
        <f>HYPERLINK("https://twitter.com/anpbcn","@anpbcn")</f>
        <v>@anpbcn</v>
      </c>
      <c r="C2333" s="8" t="s">
        <v>7505</v>
      </c>
      <c r="D2333" s="9" t="s">
        <v>8402</v>
      </c>
      <c r="E2333" s="10" t="str">
        <f>HYPERLINK("https://twitter.com/anpbcn/status/1065580655743066112","1065580655743066112")</f>
        <v>1065580655743066112</v>
      </c>
      <c r="F2333" s="12"/>
      <c r="G2333" s="12"/>
      <c r="H2333" s="12"/>
      <c r="I2333" s="13">
        <v>2</v>
      </c>
      <c r="J2333" s="13">
        <v>2</v>
      </c>
      <c r="K2333" s="14" t="str">
        <f>HYPERLINK("http://twitter.com/#!/download/ipad","Twitter for iPad")</f>
        <v>Twitter for iPad</v>
      </c>
      <c r="L2333" s="13">
        <v>6302</v>
      </c>
      <c r="M2333" s="13">
        <v>6006</v>
      </c>
      <c r="N2333" s="13">
        <v>33</v>
      </c>
      <c r="O2333" s="15"/>
      <c r="P2333" s="6">
        <v>41506.844305555554</v>
      </c>
      <c r="Q2333" s="17" t="s">
        <v>191</v>
      </c>
      <c r="R2333" s="18" t="s">
        <v>7507</v>
      </c>
      <c r="S2333" s="12"/>
      <c r="T2333" s="12"/>
      <c r="U2333" s="10" t="str">
        <f>HYPERLINK("https://pbs.twimg.com/profile_images/856096657762603009/Ss_6OisX.jpg","View")</f>
        <v>View</v>
      </c>
    </row>
    <row r="2334" spans="1:21" ht="20.399999999999999">
      <c r="A2334" s="6">
        <v>43426.555092592593</v>
      </c>
      <c r="B2334" s="7" t="str">
        <f t="shared" ref="B2334:B2335" si="377">HYPERLINK("https://twitter.com/lapaseata","@lapaseata")</f>
        <v>@lapaseata</v>
      </c>
      <c r="C2334" s="8" t="s">
        <v>8403</v>
      </c>
      <c r="D2334" s="9" t="s">
        <v>8394</v>
      </c>
      <c r="E2334" s="10" t="str">
        <f>HYPERLINK("https://twitter.com/lapaseata/status/1065580486225989632","1065580486225989632")</f>
        <v>1065580486225989632</v>
      </c>
      <c r="F2334" s="11" t="s">
        <v>8404</v>
      </c>
      <c r="G2334" s="11" t="s">
        <v>8405</v>
      </c>
      <c r="H2334" s="12"/>
      <c r="I2334" s="13">
        <v>1</v>
      </c>
      <c r="J2334" s="13">
        <v>2</v>
      </c>
      <c r="K2334" s="14" t="str">
        <f>HYPERLINK("http://twitter.com","Twitter Web Client")</f>
        <v>Twitter Web Client</v>
      </c>
      <c r="L2334" s="13">
        <v>7792</v>
      </c>
      <c r="M2334" s="13">
        <v>7573</v>
      </c>
      <c r="N2334" s="13">
        <v>65</v>
      </c>
      <c r="O2334" s="15"/>
      <c r="P2334" s="6">
        <v>40524.737581018519</v>
      </c>
      <c r="Q2334" s="17" t="s">
        <v>8406</v>
      </c>
      <c r="R2334" s="18" t="s">
        <v>8407</v>
      </c>
      <c r="S2334" s="11" t="s">
        <v>8408</v>
      </c>
      <c r="T2334" s="12"/>
      <c r="U2334" s="10" t="str">
        <f t="shared" ref="U2334:U2335" si="378">HYPERLINK("https://pbs.twimg.com/profile_images/631047449524744192/3yyUmZJ5.jpg","View")</f>
        <v>View</v>
      </c>
    </row>
    <row r="2335" spans="1:21" ht="20.399999999999999">
      <c r="A2335" s="6">
        <v>43426.55467592593</v>
      </c>
      <c r="B2335" s="7" t="str">
        <f t="shared" si="377"/>
        <v>@lapaseata</v>
      </c>
      <c r="C2335" s="8" t="s">
        <v>8403</v>
      </c>
      <c r="D2335" s="9" t="s">
        <v>8394</v>
      </c>
      <c r="E2335" s="10" t="str">
        <f>HYPERLINK("https://twitter.com/lapaseata/status/1065580338972368897","1065580338972368897")</f>
        <v>1065580338972368897</v>
      </c>
      <c r="F2335" s="11" t="s">
        <v>8409</v>
      </c>
      <c r="G2335" s="12"/>
      <c r="H2335" s="12"/>
      <c r="I2335" s="13">
        <v>1</v>
      </c>
      <c r="J2335" s="13">
        <v>2</v>
      </c>
      <c r="K2335" s="14" t="str">
        <f>HYPERLINK("http://publicize.wp.com/","WordPress.com")</f>
        <v>WordPress.com</v>
      </c>
      <c r="L2335" s="13">
        <v>7792</v>
      </c>
      <c r="M2335" s="13">
        <v>7573</v>
      </c>
      <c r="N2335" s="13">
        <v>65</v>
      </c>
      <c r="O2335" s="15"/>
      <c r="P2335" s="6">
        <v>40524.737581018519</v>
      </c>
      <c r="Q2335" s="17" t="s">
        <v>8406</v>
      </c>
      <c r="R2335" s="18" t="s">
        <v>8407</v>
      </c>
      <c r="S2335" s="11" t="s">
        <v>8408</v>
      </c>
      <c r="T2335" s="12"/>
      <c r="U2335" s="10" t="str">
        <f t="shared" si="378"/>
        <v>View</v>
      </c>
    </row>
    <row r="2336" spans="1:21" ht="40.799999999999997">
      <c r="A2336" s="6">
        <v>43426.553495370375</v>
      </c>
      <c r="B2336" s="7" t="str">
        <f>HYPERLINK("https://twitter.com/Adannae","@Adannae")</f>
        <v>@Adannae</v>
      </c>
      <c r="C2336" s="8" t="s">
        <v>4364</v>
      </c>
      <c r="D2336" s="9" t="s">
        <v>8410</v>
      </c>
      <c r="E2336" s="10" t="str">
        <f>HYPERLINK("https://twitter.com/Adannae/status/1065579908339040258","1065579908339040258")</f>
        <v>1065579908339040258</v>
      </c>
      <c r="F2336" s="12"/>
      <c r="G2336" s="12"/>
      <c r="H2336" s="12"/>
      <c r="I2336" s="13">
        <v>6</v>
      </c>
      <c r="J2336" s="13">
        <v>8</v>
      </c>
      <c r="K2336" s="14" t="str">
        <f>HYPERLINK("http://twitter.com/download/android","Twitter for Android")</f>
        <v>Twitter for Android</v>
      </c>
      <c r="L2336" s="13">
        <v>3002</v>
      </c>
      <c r="M2336" s="13">
        <v>2560</v>
      </c>
      <c r="N2336" s="13">
        <v>29</v>
      </c>
      <c r="O2336" s="15"/>
      <c r="P2336" s="6">
        <v>40160.556307870371</v>
      </c>
      <c r="Q2336" s="17" t="s">
        <v>28</v>
      </c>
      <c r="R2336" s="18" t="s">
        <v>4366</v>
      </c>
      <c r="S2336" s="11" t="s">
        <v>4367</v>
      </c>
      <c r="T2336" s="12"/>
      <c r="U2336" s="10" t="str">
        <f>HYPERLINK("https://pbs.twimg.com/profile_images/1060232822420656129/69l9JhJ7.jpg","View")</f>
        <v>View</v>
      </c>
    </row>
    <row r="2337" spans="1:21" ht="30.6">
      <c r="A2337" s="6">
        <v>43426.553148148145</v>
      </c>
      <c r="B2337" s="7" t="str">
        <f>HYPERLINK("https://twitter.com/podemasfercval","@podemasfercval")</f>
        <v>@podemasfercval</v>
      </c>
      <c r="C2337" s="8" t="s">
        <v>8411</v>
      </c>
      <c r="D2337" s="9" t="s">
        <v>8412</v>
      </c>
      <c r="E2337" s="10" t="str">
        <f>HYPERLINK("https://twitter.com/podemasfercval/status/1065579783759769600","1065579783759769600")</f>
        <v>1065579783759769600</v>
      </c>
      <c r="F2337" s="11" t="s">
        <v>8413</v>
      </c>
      <c r="G2337" s="12"/>
      <c r="H2337" s="12"/>
      <c r="I2337" s="13">
        <v>0</v>
      </c>
      <c r="J2337" s="13">
        <v>0</v>
      </c>
      <c r="K2337" s="14" t="str">
        <f>HYPERLINK("http://www.facebook.com/twitter","Facebook")</f>
        <v>Facebook</v>
      </c>
      <c r="L2337" s="13">
        <v>45</v>
      </c>
      <c r="M2337" s="13">
        <v>73</v>
      </c>
      <c r="N2337" s="13">
        <v>0</v>
      </c>
      <c r="O2337" s="15"/>
      <c r="P2337" s="6">
        <v>42066.818379629629</v>
      </c>
      <c r="Q2337" s="17" t="s">
        <v>810</v>
      </c>
      <c r="R2337" s="18" t="s">
        <v>8414</v>
      </c>
      <c r="S2337" s="12"/>
      <c r="T2337" s="12"/>
      <c r="U2337" s="10" t="str">
        <f>HYPERLINK("https://pbs.twimg.com/profile_images/690997133827252225/mp1Fw2L2.jpg","View")</f>
        <v>View</v>
      </c>
    </row>
    <row r="2338" spans="1:21" ht="30.6">
      <c r="A2338" s="6">
        <v>43426.552268518513</v>
      </c>
      <c r="B2338" s="7" t="str">
        <f>HYPERLINK("https://twitter.com/mehuelea","@mehuelea")</f>
        <v>@mehuelea</v>
      </c>
      <c r="C2338" s="8" t="s">
        <v>5609</v>
      </c>
      <c r="D2338" s="9" t="s">
        <v>8415</v>
      </c>
      <c r="E2338" s="10" t="str">
        <f>HYPERLINK("https://twitter.com/mehuelea/status/1065579464875261952","1065579464875261952")</f>
        <v>1065579464875261952</v>
      </c>
      <c r="F2338" s="11" t="s">
        <v>8416</v>
      </c>
      <c r="G2338" s="12"/>
      <c r="H2338" s="12"/>
      <c r="I2338" s="13">
        <v>0</v>
      </c>
      <c r="J2338" s="13">
        <v>0</v>
      </c>
      <c r="K2338" s="14" t="str">
        <f>HYPERLINK("http://twitter.com/download/android","Twitter for Android")</f>
        <v>Twitter for Android</v>
      </c>
      <c r="L2338" s="13">
        <v>3338</v>
      </c>
      <c r="M2338" s="13">
        <v>2737</v>
      </c>
      <c r="N2338" s="13">
        <v>26</v>
      </c>
      <c r="O2338" s="15"/>
      <c r="P2338" s="6">
        <v>40682.359872685185</v>
      </c>
      <c r="Q2338" s="17" t="s">
        <v>5612</v>
      </c>
      <c r="R2338" s="18" t="s">
        <v>5613</v>
      </c>
      <c r="S2338" s="11" t="s">
        <v>5614</v>
      </c>
      <c r="T2338" s="12"/>
      <c r="U2338" s="10" t="str">
        <f>HYPERLINK("https://pbs.twimg.com/profile_images/786420110919696384/2z6X6h6j.jpg","View")</f>
        <v>View</v>
      </c>
    </row>
    <row r="2339" spans="1:21" ht="30.6">
      <c r="A2339" s="6">
        <v>43426.552199074074</v>
      </c>
      <c r="B2339" s="7" t="str">
        <f>HYPERLINK("https://twitter.com/TuiteoCabudare","@TuiteoCabudare")</f>
        <v>@TuiteoCabudare</v>
      </c>
      <c r="C2339" s="8" t="s">
        <v>735</v>
      </c>
      <c r="D2339" s="9" t="s">
        <v>4463</v>
      </c>
      <c r="E2339" s="10" t="str">
        <f>HYPERLINK("https://twitter.com/TuiteoCabudare/status/1065579437926830085","1065579437926830085")</f>
        <v>1065579437926830085</v>
      </c>
      <c r="F2339" s="11" t="s">
        <v>8417</v>
      </c>
      <c r="G2339" s="12"/>
      <c r="H2339" s="12"/>
      <c r="I2339" s="13">
        <v>0</v>
      </c>
      <c r="J2339" s="13">
        <v>0</v>
      </c>
      <c r="K2339" s="14" t="str">
        <f>HYPERLINK("https://ifttt.com","IFTTT")</f>
        <v>IFTTT</v>
      </c>
      <c r="L2339" s="13">
        <v>1509</v>
      </c>
      <c r="M2339" s="13">
        <v>61</v>
      </c>
      <c r="N2339" s="13">
        <v>50</v>
      </c>
      <c r="O2339" s="15"/>
      <c r="P2339" s="6">
        <v>41724.879340277781</v>
      </c>
      <c r="Q2339" s="17" t="s">
        <v>737</v>
      </c>
      <c r="R2339" s="18" t="s">
        <v>738</v>
      </c>
      <c r="S2339" s="12"/>
      <c r="T2339" s="12"/>
      <c r="U2339" s="10" t="str">
        <f>HYPERLINK("https://pbs.twimg.com/profile_images/448918097018101760/_AdehZ--.jpeg","View")</f>
        <v>View</v>
      </c>
    </row>
    <row r="2340" spans="1:21" ht="20.399999999999999">
      <c r="A2340" s="6">
        <v>43426.551944444444</v>
      </c>
      <c r="B2340" s="7" t="str">
        <f>HYPERLINK("https://twitter.com/queregua65","@queregua65")</f>
        <v>@queregua65</v>
      </c>
      <c r="C2340" s="8" t="s">
        <v>8418</v>
      </c>
      <c r="D2340" s="9" t="s">
        <v>8419</v>
      </c>
      <c r="E2340" s="10" t="str">
        <f>HYPERLINK("https://twitter.com/queregua65/status/1065579345471827968","1065579345471827968")</f>
        <v>1065579345471827968</v>
      </c>
      <c r="F2340" s="12"/>
      <c r="G2340" s="12"/>
      <c r="H2340" s="12"/>
      <c r="I2340" s="13">
        <v>0</v>
      </c>
      <c r="J2340" s="13">
        <v>0</v>
      </c>
      <c r="K2340" s="14" t="str">
        <f>HYPERLINK("https://mobile.twitter.com","Twitter Lite")</f>
        <v>Twitter Lite</v>
      </c>
      <c r="L2340" s="13">
        <v>1</v>
      </c>
      <c r="M2340" s="13">
        <v>19</v>
      </c>
      <c r="N2340" s="13">
        <v>0</v>
      </c>
      <c r="O2340" s="15"/>
      <c r="P2340" s="6">
        <v>43223.003379629634</v>
      </c>
      <c r="Q2340" s="12"/>
      <c r="R2340" s="19"/>
      <c r="S2340" s="12"/>
      <c r="T2340" s="12"/>
      <c r="U2340" s="16" t="s">
        <v>373</v>
      </c>
    </row>
    <row r="2341" spans="1:21" ht="40.799999999999997">
      <c r="A2341" s="6">
        <v>43426.551481481481</v>
      </c>
      <c r="B2341" s="7" t="str">
        <f>HYPERLINK("https://twitter.com/Jokertersen","@Jokertersen")</f>
        <v>@Jokertersen</v>
      </c>
      <c r="C2341" s="8" t="s">
        <v>8420</v>
      </c>
      <c r="D2341" s="9" t="s">
        <v>8421</v>
      </c>
      <c r="E2341" s="10" t="str">
        <f>HYPERLINK("https://twitter.com/Jokertersen/status/1065579177720586240","1065579177720586240")</f>
        <v>1065579177720586240</v>
      </c>
      <c r="F2341" s="11" t="s">
        <v>633</v>
      </c>
      <c r="G2341" s="12"/>
      <c r="H2341" s="12"/>
      <c r="I2341" s="13">
        <v>0</v>
      </c>
      <c r="J2341" s="13">
        <v>0</v>
      </c>
      <c r="K2341" s="14" t="str">
        <f>HYPERLINK("http://twitter.com/download/android","Twitter for Android")</f>
        <v>Twitter for Android</v>
      </c>
      <c r="L2341" s="13">
        <v>212</v>
      </c>
      <c r="M2341" s="13">
        <v>343</v>
      </c>
      <c r="N2341" s="13">
        <v>1</v>
      </c>
      <c r="O2341" s="15"/>
      <c r="P2341" s="6">
        <v>40052.495023148149</v>
      </c>
      <c r="Q2341" s="17" t="s">
        <v>8422</v>
      </c>
      <c r="R2341" s="18" t="s">
        <v>8423</v>
      </c>
      <c r="S2341" s="12"/>
      <c r="T2341" s="12"/>
      <c r="U2341" s="10" t="str">
        <f>HYPERLINK("https://pbs.twimg.com/profile_images/1037093387915194368/IxjG7v9L.jpg","View")</f>
        <v>View</v>
      </c>
    </row>
    <row r="2342" spans="1:21" ht="61.2">
      <c r="A2342" s="6">
        <v>43426.550185185188</v>
      </c>
      <c r="B2342" s="7" t="str">
        <f>HYPERLINK("https://twitter.com/Antonio29407099","@Antonio29407099")</f>
        <v>@Antonio29407099</v>
      </c>
      <c r="C2342" s="8" t="s">
        <v>2427</v>
      </c>
      <c r="D2342" s="9" t="s">
        <v>8424</v>
      </c>
      <c r="E2342" s="10" t="str">
        <f>HYPERLINK("https://twitter.com/Antonio29407099/status/1065578707690110977","1065578707690110977")</f>
        <v>1065578707690110977</v>
      </c>
      <c r="F2342" s="11" t="s">
        <v>8425</v>
      </c>
      <c r="G2342" s="11" t="s">
        <v>8426</v>
      </c>
      <c r="H2342" s="12"/>
      <c r="I2342" s="13">
        <v>0</v>
      </c>
      <c r="J2342" s="13">
        <v>1</v>
      </c>
      <c r="K2342" s="14" t="str">
        <f t="shared" ref="K2342:K2345" si="379">HYPERLINK("http://twitter.com","Twitter Web Client")</f>
        <v>Twitter Web Client</v>
      </c>
      <c r="L2342" s="13">
        <v>409</v>
      </c>
      <c r="M2342" s="13">
        <v>420</v>
      </c>
      <c r="N2342" s="13">
        <v>8</v>
      </c>
      <c r="O2342" s="15"/>
      <c r="P2342" s="6">
        <v>40986.32503472222</v>
      </c>
      <c r="Q2342" s="17" t="s">
        <v>2430</v>
      </c>
      <c r="R2342" s="18" t="s">
        <v>2431</v>
      </c>
      <c r="S2342" s="12"/>
      <c r="T2342" s="12"/>
      <c r="U2342" s="10" t="str">
        <f>HYPERLINK("https://pbs.twimg.com/profile_images/1065943948890382336/j9ezRSrk.jpg","View")</f>
        <v>View</v>
      </c>
    </row>
    <row r="2343" spans="1:21" ht="20.399999999999999">
      <c r="A2343" s="6">
        <v>43426.548460648148</v>
      </c>
      <c r="B2343" s="7" t="str">
        <f>HYPERLINK("https://twitter.com/ilgatopando","@ilgatopando")</f>
        <v>@ilgatopando</v>
      </c>
      <c r="C2343" s="8" t="s">
        <v>8427</v>
      </c>
      <c r="D2343" s="9" t="s">
        <v>8428</v>
      </c>
      <c r="E2343" s="10" t="str">
        <f>HYPERLINK("https://twitter.com/ilgatopando/status/1065578083791581185","1065578083791581185")</f>
        <v>1065578083791581185</v>
      </c>
      <c r="F2343" s="11" t="s">
        <v>5809</v>
      </c>
      <c r="G2343" s="12"/>
      <c r="H2343" s="12"/>
      <c r="I2343" s="13">
        <v>0</v>
      </c>
      <c r="J2343" s="13">
        <v>0</v>
      </c>
      <c r="K2343" s="14" t="str">
        <f t="shared" si="379"/>
        <v>Twitter Web Client</v>
      </c>
      <c r="L2343" s="13">
        <v>244</v>
      </c>
      <c r="M2343" s="13">
        <v>260</v>
      </c>
      <c r="N2343" s="13">
        <v>17</v>
      </c>
      <c r="O2343" s="15"/>
      <c r="P2343" s="6">
        <v>41427.652141203704</v>
      </c>
      <c r="Q2343" s="17" t="s">
        <v>8429</v>
      </c>
      <c r="R2343" s="18" t="s">
        <v>8430</v>
      </c>
      <c r="S2343" s="11" t="s">
        <v>8431</v>
      </c>
      <c r="T2343" s="12"/>
      <c r="U2343" s="10" t="str">
        <f>HYPERLINK("https://pbs.twimg.com/profile_images/949618288564342784/PlZoI2NI.jpg","View")</f>
        <v>View</v>
      </c>
    </row>
    <row r="2344" spans="1:21" ht="20.399999999999999">
      <c r="A2344" s="6">
        <v>43426.548159722224</v>
      </c>
      <c r="B2344" s="7" t="str">
        <f>HYPERLINK("https://twitter.com/rafapg","@rafapg")</f>
        <v>@rafapg</v>
      </c>
      <c r="C2344" s="8" t="s">
        <v>8432</v>
      </c>
      <c r="D2344" s="9" t="s">
        <v>1671</v>
      </c>
      <c r="E2344" s="10" t="str">
        <f>HYPERLINK("https://twitter.com/rafapg/status/1065577974890733569","1065577974890733569")</f>
        <v>1065577974890733569</v>
      </c>
      <c r="F2344" s="11" t="s">
        <v>1672</v>
      </c>
      <c r="G2344" s="12"/>
      <c r="H2344" s="12"/>
      <c r="I2344" s="13">
        <v>0</v>
      </c>
      <c r="J2344" s="13">
        <v>0</v>
      </c>
      <c r="K2344" s="14" t="str">
        <f t="shared" si="379"/>
        <v>Twitter Web Client</v>
      </c>
      <c r="L2344" s="13">
        <v>2523</v>
      </c>
      <c r="M2344" s="13">
        <v>4852</v>
      </c>
      <c r="N2344" s="13">
        <v>20</v>
      </c>
      <c r="O2344" s="15"/>
      <c r="P2344" s="6">
        <v>40032.290486111109</v>
      </c>
      <c r="Q2344" s="17" t="s">
        <v>8433</v>
      </c>
      <c r="R2344" s="18" t="s">
        <v>8434</v>
      </c>
      <c r="S2344" s="11" t="s">
        <v>8435</v>
      </c>
      <c r="T2344" s="12"/>
      <c r="U2344" s="10" t="str">
        <f>HYPERLINK("https://pbs.twimg.com/profile_images/605822306540122112/nditgsay.jpg","View")</f>
        <v>View</v>
      </c>
    </row>
    <row r="2345" spans="1:21" ht="30.6">
      <c r="A2345" s="6">
        <v>43426.547962962963</v>
      </c>
      <c r="B2345" s="7" t="str">
        <f>HYPERLINK("https://twitter.com/ontibe","@ontibe")</f>
        <v>@ontibe</v>
      </c>
      <c r="C2345" s="8" t="s">
        <v>1057</v>
      </c>
      <c r="D2345" s="9" t="s">
        <v>1156</v>
      </c>
      <c r="E2345" s="10" t="str">
        <f>HYPERLINK("https://twitter.com/ontibe/status/1065577905353355265","1065577905353355265")</f>
        <v>1065577905353355265</v>
      </c>
      <c r="F2345" s="11" t="s">
        <v>556</v>
      </c>
      <c r="G2345" s="12"/>
      <c r="H2345" s="12"/>
      <c r="I2345" s="13">
        <v>0</v>
      </c>
      <c r="J2345" s="13">
        <v>0</v>
      </c>
      <c r="K2345" s="14" t="str">
        <f t="shared" si="379"/>
        <v>Twitter Web Client</v>
      </c>
      <c r="L2345" s="13">
        <v>432</v>
      </c>
      <c r="M2345" s="13">
        <v>1265</v>
      </c>
      <c r="N2345" s="13">
        <v>1</v>
      </c>
      <c r="O2345" s="15"/>
      <c r="P2345" s="6">
        <v>40673.627766203703</v>
      </c>
      <c r="Q2345" s="17" t="s">
        <v>1058</v>
      </c>
      <c r="R2345" s="18" t="s">
        <v>1059</v>
      </c>
      <c r="S2345" s="12"/>
      <c r="T2345" s="12"/>
      <c r="U2345" s="10" t="str">
        <f>HYPERLINK("https://pbs.twimg.com/profile_images/867069058037972993/9c2-Wrp7.jpg","View")</f>
        <v>View</v>
      </c>
    </row>
    <row r="2346" spans="1:21" ht="40.799999999999997">
      <c r="A2346" s="6">
        <v>43426.54755787037</v>
      </c>
      <c r="B2346" s="7" t="str">
        <f>HYPERLINK("https://twitter.com/ElSastrin","@ElSastrin")</f>
        <v>@ElSastrin</v>
      </c>
      <c r="C2346" s="8" t="s">
        <v>8436</v>
      </c>
      <c r="D2346" s="9" t="s">
        <v>8437</v>
      </c>
      <c r="E2346" s="10" t="str">
        <f>HYPERLINK("https://twitter.com/ElSastrin/status/1065577756124225536","1065577756124225536")</f>
        <v>1065577756124225536</v>
      </c>
      <c r="F2346" s="12"/>
      <c r="G2346" s="11" t="s">
        <v>8438</v>
      </c>
      <c r="H2346" s="12"/>
      <c r="I2346" s="13">
        <v>1</v>
      </c>
      <c r="J2346" s="13">
        <v>1</v>
      </c>
      <c r="K2346" s="14" t="str">
        <f>HYPERLINK("http://twitter.com/download/android","Twitter for Android")</f>
        <v>Twitter for Android</v>
      </c>
      <c r="L2346" s="13">
        <v>936</v>
      </c>
      <c r="M2346" s="13">
        <v>809</v>
      </c>
      <c r="N2346" s="13">
        <v>16</v>
      </c>
      <c r="O2346" s="15"/>
      <c r="P2346" s="6">
        <v>41577.771192129629</v>
      </c>
      <c r="Q2346" s="17" t="s">
        <v>8439</v>
      </c>
      <c r="R2346" s="18" t="s">
        <v>8440</v>
      </c>
      <c r="S2346" s="12"/>
      <c r="T2346" s="12"/>
      <c r="U2346" s="10" t="str">
        <f>HYPERLINK("https://pbs.twimg.com/profile_images/1042277080019464199/e_UrMoWL.jpg","View")</f>
        <v>View</v>
      </c>
    </row>
    <row r="2347" spans="1:21" ht="20.399999999999999">
      <c r="A2347" s="6">
        <v>43426.546979166669</v>
      </c>
      <c r="B2347" s="7" t="str">
        <f>HYPERLINK("https://twitter.com/lolapastur","@lolapastur")</f>
        <v>@lolapastur</v>
      </c>
      <c r="C2347" s="8" t="s">
        <v>1329</v>
      </c>
      <c r="D2347" s="9" t="s">
        <v>5172</v>
      </c>
      <c r="E2347" s="10" t="str">
        <f>HYPERLINK("https://twitter.com/lolapastur/status/1065577546673209344","1065577546673209344")</f>
        <v>1065577546673209344</v>
      </c>
      <c r="F2347" s="11" t="s">
        <v>8441</v>
      </c>
      <c r="G2347" s="12"/>
      <c r="H2347" s="12"/>
      <c r="I2347" s="13">
        <v>0</v>
      </c>
      <c r="J2347" s="13">
        <v>0</v>
      </c>
      <c r="K2347" s="14" t="str">
        <f>HYPERLINK("http://twitter.com/download/iphone","Twitter for iPhone")</f>
        <v>Twitter for iPhone</v>
      </c>
      <c r="L2347" s="13">
        <v>3768</v>
      </c>
      <c r="M2347" s="13">
        <v>2836</v>
      </c>
      <c r="N2347" s="13">
        <v>32</v>
      </c>
      <c r="O2347" s="15"/>
      <c r="P2347" s="6">
        <v>40913.599293981482</v>
      </c>
      <c r="Q2347" s="12"/>
      <c r="R2347" s="18" t="s">
        <v>1332</v>
      </c>
      <c r="S2347" s="12"/>
      <c r="T2347" s="12"/>
      <c r="U2347" s="10" t="str">
        <f>HYPERLINK("https://pbs.twimg.com/profile_images/934821295736451073/tnymHvNj.jpg","View")</f>
        <v>View</v>
      </c>
    </row>
    <row r="2348" spans="1:21" ht="40.799999999999997">
      <c r="A2348" s="6">
        <v>43426.546921296293</v>
      </c>
      <c r="B2348" s="7" t="str">
        <f>HYPERLINK("https://twitter.com/norcatalan","@norcatalan")</f>
        <v>@norcatalan</v>
      </c>
      <c r="C2348" s="8" t="s">
        <v>8383</v>
      </c>
      <c r="D2348" s="9" t="s">
        <v>8442</v>
      </c>
      <c r="E2348" s="10" t="str">
        <f>HYPERLINK("https://twitter.com/norcatalan/status/1065577527404634113","1065577527404634113")</f>
        <v>1065577527404634113</v>
      </c>
      <c r="F2348" s="12"/>
      <c r="G2348" s="11" t="s">
        <v>8443</v>
      </c>
      <c r="H2348" s="12"/>
      <c r="I2348" s="13">
        <v>3</v>
      </c>
      <c r="J2348" s="13">
        <v>14</v>
      </c>
      <c r="K2348" s="14" t="str">
        <f>HYPERLINK("https://about.twitter.com/products/tweetdeck","TweetDeck")</f>
        <v>TweetDeck</v>
      </c>
      <c r="L2348" s="13">
        <v>13604</v>
      </c>
      <c r="M2348" s="13">
        <v>18</v>
      </c>
      <c r="N2348" s="13">
        <v>46</v>
      </c>
      <c r="O2348" s="15"/>
      <c r="P2348" s="6">
        <v>43032.844004629631</v>
      </c>
      <c r="Q2348" s="17" t="s">
        <v>8385</v>
      </c>
      <c r="R2348" s="18" t="s">
        <v>8386</v>
      </c>
      <c r="S2348" s="11" t="s">
        <v>8387</v>
      </c>
      <c r="T2348" s="12"/>
      <c r="U2348" s="10" t="str">
        <f>HYPERLINK("https://pbs.twimg.com/profile_images/922896848737665024/2txos7aK.jpg","View")</f>
        <v>View</v>
      </c>
    </row>
    <row r="2349" spans="1:21" ht="30.6">
      <c r="A2349" s="6">
        <v>43426.546678240746</v>
      </c>
      <c r="B2349" s="7" t="str">
        <f>HYPERLINK("https://twitter.com/TuiteoMaracaibo","@TuiteoMaracaibo")</f>
        <v>@TuiteoMaracaibo</v>
      </c>
      <c r="C2349" s="8" t="s">
        <v>8444</v>
      </c>
      <c r="D2349" s="9" t="s">
        <v>4463</v>
      </c>
      <c r="E2349" s="10" t="str">
        <f>HYPERLINK("https://twitter.com/TuiteoMaracaibo/status/1065577437151539200","1065577437151539200")</f>
        <v>1065577437151539200</v>
      </c>
      <c r="F2349" s="11" t="s">
        <v>8445</v>
      </c>
      <c r="G2349" s="12"/>
      <c r="H2349" s="12"/>
      <c r="I2349" s="13">
        <v>0</v>
      </c>
      <c r="J2349" s="13">
        <v>0</v>
      </c>
      <c r="K2349" s="14" t="str">
        <f>HYPERLINK("https://ifttt.com","IFTTT")</f>
        <v>IFTTT</v>
      </c>
      <c r="L2349" s="13">
        <v>524</v>
      </c>
      <c r="M2349" s="13">
        <v>42</v>
      </c>
      <c r="N2349" s="13">
        <v>8</v>
      </c>
      <c r="O2349" s="15"/>
      <c r="P2349" s="6">
        <v>41642.825185185182</v>
      </c>
      <c r="Q2349" s="17" t="s">
        <v>104</v>
      </c>
      <c r="R2349" s="18" t="s">
        <v>8446</v>
      </c>
      <c r="S2349" s="11" t="s">
        <v>8447</v>
      </c>
      <c r="T2349" s="12"/>
      <c r="U2349" s="10" t="str">
        <f>HYPERLINK("https://pbs.twimg.com/profile_images/508434152396304384/2RvPSg-1.png","View")</f>
        <v>View</v>
      </c>
    </row>
    <row r="2350" spans="1:21" ht="40.799999999999997">
      <c r="A2350" s="6">
        <v>43426.546018518522</v>
      </c>
      <c r="B2350" s="7" t="str">
        <f>HYPERLINK("https://twitter.com/Madridiario","@Madridiario")</f>
        <v>@Madridiario</v>
      </c>
      <c r="C2350" s="20" t="s">
        <v>7895</v>
      </c>
      <c r="D2350" s="9" t="s">
        <v>8448</v>
      </c>
      <c r="E2350" s="10" t="str">
        <f>HYPERLINK("https://twitter.com/Madridiario/status/1065577201658142720","1065577201658142720")</f>
        <v>1065577201658142720</v>
      </c>
      <c r="F2350" s="11" t="s">
        <v>8449</v>
      </c>
      <c r="G2350" s="12"/>
      <c r="H2350" s="12"/>
      <c r="I2350" s="13">
        <v>2</v>
      </c>
      <c r="J2350" s="13">
        <v>0</v>
      </c>
      <c r="K2350" s="14" t="str">
        <f>HYPERLINK("https://www.hootsuite.com","Hootsuite Inc.")</f>
        <v>Hootsuite Inc.</v>
      </c>
      <c r="L2350" s="13">
        <v>54570</v>
      </c>
      <c r="M2350" s="13">
        <v>4653</v>
      </c>
      <c r="N2350" s="13">
        <v>1658</v>
      </c>
      <c r="O2350" s="15"/>
      <c r="P2350" s="6">
        <v>39877.709236111114</v>
      </c>
      <c r="Q2350" s="17" t="s">
        <v>72</v>
      </c>
      <c r="R2350" s="18" t="s">
        <v>7898</v>
      </c>
      <c r="S2350" s="11" t="s">
        <v>7899</v>
      </c>
      <c r="T2350" s="12"/>
      <c r="U2350" s="10" t="str">
        <f>HYPERLINK("https://pbs.twimg.com/profile_images/1038907502312730626/r2b6nh54.jpg","View")</f>
        <v>View</v>
      </c>
    </row>
    <row r="2351" spans="1:21" ht="20.399999999999999">
      <c r="A2351" s="6">
        <v>43426.545254629629</v>
      </c>
      <c r="B2351" s="7" t="str">
        <f>HYPERLINK("https://twitter.com/assataN_","@assataN_")</f>
        <v>@assataN_</v>
      </c>
      <c r="C2351" s="8" t="s">
        <v>8450</v>
      </c>
      <c r="D2351" s="9" t="s">
        <v>8451</v>
      </c>
      <c r="E2351" s="10" t="str">
        <f>HYPERLINK("https://twitter.com/assataN_/status/1065576923684880384","1065576923684880384")</f>
        <v>1065576923684880384</v>
      </c>
      <c r="F2351" s="12"/>
      <c r="G2351" s="12"/>
      <c r="H2351" s="12"/>
      <c r="I2351" s="13">
        <v>0</v>
      </c>
      <c r="J2351" s="13">
        <v>0</v>
      </c>
      <c r="K2351" s="14" t="str">
        <f>HYPERLINK("http://twitter.com/download/android","Twitter for Android")</f>
        <v>Twitter for Android</v>
      </c>
      <c r="L2351" s="13">
        <v>2541</v>
      </c>
      <c r="M2351" s="13">
        <v>520</v>
      </c>
      <c r="N2351" s="13">
        <v>27</v>
      </c>
      <c r="O2351" s="15"/>
      <c r="P2351" s="6">
        <v>42384.087372685186</v>
      </c>
      <c r="Q2351" s="17" t="s">
        <v>28</v>
      </c>
      <c r="R2351" s="18" t="s">
        <v>8452</v>
      </c>
      <c r="S2351" s="12"/>
      <c r="T2351" s="12"/>
      <c r="U2351" s="10" t="str">
        <f>HYPERLINK("https://pbs.twimg.com/profile_images/1024004464116748289/HclVEbDv.jpg","View")</f>
        <v>View</v>
      </c>
    </row>
    <row r="2352" spans="1:21" ht="30.6">
      <c r="A2352" s="6">
        <v>43426.543773148151</v>
      </c>
      <c r="B2352" s="7" t="str">
        <f>HYPERLINK("https://twitter.com/MediodiaCOPE","@MediodiaCOPE")</f>
        <v>@MediodiaCOPE</v>
      </c>
      <c r="C2352" s="8" t="s">
        <v>8453</v>
      </c>
      <c r="D2352" s="9" t="s">
        <v>8454</v>
      </c>
      <c r="E2352" s="10" t="str">
        <f>HYPERLINK("https://twitter.com/MediodiaCOPE/status/1065576387816361984","1065576387816361984")</f>
        <v>1065576387816361984</v>
      </c>
      <c r="F2352" s="11" t="s">
        <v>8455</v>
      </c>
      <c r="G2352" s="11" t="s">
        <v>8456</v>
      </c>
      <c r="H2352" s="12"/>
      <c r="I2352" s="13">
        <v>0</v>
      </c>
      <c r="J2352" s="13">
        <v>0</v>
      </c>
      <c r="K2352" s="14" t="str">
        <f>HYPERLINK("https://buffer.com","Buffer")</f>
        <v>Buffer</v>
      </c>
      <c r="L2352" s="13">
        <v>1708</v>
      </c>
      <c r="M2352" s="13">
        <v>175</v>
      </c>
      <c r="N2352" s="13">
        <v>23</v>
      </c>
      <c r="O2352" s="16" t="s">
        <v>26</v>
      </c>
      <c r="P2352" s="6">
        <v>42612.488576388889</v>
      </c>
      <c r="Q2352" s="17" t="s">
        <v>141</v>
      </c>
      <c r="R2352" s="18" t="s">
        <v>8457</v>
      </c>
      <c r="S2352" s="11" t="s">
        <v>8458</v>
      </c>
      <c r="T2352" s="12"/>
      <c r="U2352" s="10" t="str">
        <f>HYPERLINK("https://pbs.twimg.com/profile_images/1063481809382576128/vED0eMPw.jpg","View")</f>
        <v>View</v>
      </c>
    </row>
    <row r="2353" spans="1:21" ht="40.799999999999997">
      <c r="A2353" s="6">
        <v>43426.543703703705</v>
      </c>
      <c r="B2353" s="7" t="str">
        <f>HYPERLINK("https://twitter.com/mst1953","@mst1953")</f>
        <v>@mst1953</v>
      </c>
      <c r="C2353" s="8" t="s">
        <v>5459</v>
      </c>
      <c r="D2353" s="9" t="s">
        <v>8459</v>
      </c>
      <c r="E2353" s="10" t="str">
        <f>HYPERLINK("https://twitter.com/mst1953/status/1065576362495361025","1065576362495361025")</f>
        <v>1065576362495361025</v>
      </c>
      <c r="F2353" s="11" t="s">
        <v>8460</v>
      </c>
      <c r="G2353" s="12"/>
      <c r="H2353" s="12"/>
      <c r="I2353" s="13">
        <v>0</v>
      </c>
      <c r="J2353" s="13">
        <v>0</v>
      </c>
      <c r="K2353" s="14" t="str">
        <f t="shared" ref="K2353:K2354" si="380">HYPERLINK("http://twitter.com/download/android","Twitter for Android")</f>
        <v>Twitter for Android</v>
      </c>
      <c r="L2353" s="13">
        <v>3449</v>
      </c>
      <c r="M2353" s="13">
        <v>1752</v>
      </c>
      <c r="N2353" s="13">
        <v>44</v>
      </c>
      <c r="O2353" s="15"/>
      <c r="P2353" s="6">
        <v>40854.81490740741</v>
      </c>
      <c r="Q2353" s="17" t="s">
        <v>870</v>
      </c>
      <c r="R2353" s="18" t="s">
        <v>5462</v>
      </c>
      <c r="S2353" s="12"/>
      <c r="T2353" s="12"/>
      <c r="U2353" s="10" t="str">
        <f>HYPERLINK("https://pbs.twimg.com/profile_images/1034868921671843841/IaIT-c4l.jpg","View")</f>
        <v>View</v>
      </c>
    </row>
    <row r="2354" spans="1:21" ht="51">
      <c r="A2354" s="6">
        <v>43426.543368055558</v>
      </c>
      <c r="B2354" s="7" t="str">
        <f>HYPERLINK("https://twitter.com/jodaus80","@jodaus80")</f>
        <v>@jodaus80</v>
      </c>
      <c r="C2354" s="20" t="s">
        <v>8461</v>
      </c>
      <c r="D2354" s="9" t="s">
        <v>8462</v>
      </c>
      <c r="E2354" s="10" t="str">
        <f>HYPERLINK("https://twitter.com/jodaus80/status/1065576240625668096","1065576240625668096")</f>
        <v>1065576240625668096</v>
      </c>
      <c r="F2354" s="12"/>
      <c r="G2354" s="11" t="s">
        <v>8463</v>
      </c>
      <c r="H2354" s="12"/>
      <c r="I2354" s="13">
        <v>0</v>
      </c>
      <c r="J2354" s="13">
        <v>2</v>
      </c>
      <c r="K2354" s="14" t="str">
        <f t="shared" si="380"/>
        <v>Twitter for Android</v>
      </c>
      <c r="L2354" s="13">
        <v>29</v>
      </c>
      <c r="M2354" s="13">
        <v>19</v>
      </c>
      <c r="N2354" s="13">
        <v>1</v>
      </c>
      <c r="O2354" s="15"/>
      <c r="P2354" s="6">
        <v>40815.717222222222</v>
      </c>
      <c r="Q2354" s="17" t="s">
        <v>28</v>
      </c>
      <c r="R2354" s="19"/>
      <c r="S2354" s="12"/>
      <c r="T2354" s="12"/>
      <c r="U2354" s="10" t="str">
        <f>HYPERLINK("https://pbs.twimg.com/profile_images/797169409689260032/_YKmAmqD.jpg","View")</f>
        <v>View</v>
      </c>
    </row>
    <row r="2355" spans="1:21" ht="30.6">
      <c r="A2355" s="6">
        <v>43426.542939814812</v>
      </c>
      <c r="B2355" s="7" t="str">
        <f>HYPERLINK("https://twitter.com/SergioGomezhead","@SergioGomezhead")</f>
        <v>@SergioGomezhead</v>
      </c>
      <c r="C2355" s="8" t="s">
        <v>8464</v>
      </c>
      <c r="D2355" s="9" t="s">
        <v>8465</v>
      </c>
      <c r="E2355" s="10" t="str">
        <f>HYPERLINK("https://twitter.com/SergioGomezhead/status/1065576083804876800","1065576083804876800")</f>
        <v>1065576083804876800</v>
      </c>
      <c r="F2355" s="11" t="s">
        <v>4718</v>
      </c>
      <c r="G2355" s="12"/>
      <c r="H2355" s="12"/>
      <c r="I2355" s="13">
        <v>0</v>
      </c>
      <c r="J2355" s="13">
        <v>0</v>
      </c>
      <c r="K2355" s="14" t="str">
        <f t="shared" ref="K2355:K2356" si="381">HYPERLINK("http://twitter.com","Twitter Web Client")</f>
        <v>Twitter Web Client</v>
      </c>
      <c r="L2355" s="13">
        <v>312</v>
      </c>
      <c r="M2355" s="13">
        <v>268</v>
      </c>
      <c r="N2355" s="13">
        <v>4</v>
      </c>
      <c r="O2355" s="15"/>
      <c r="P2355" s="6">
        <v>41090.920752314814</v>
      </c>
      <c r="Q2355" s="17" t="s">
        <v>8466</v>
      </c>
      <c r="R2355" s="18" t="s">
        <v>8467</v>
      </c>
      <c r="S2355" s="12"/>
      <c r="T2355" s="12"/>
      <c r="U2355" s="10" t="str">
        <f>HYPERLINK("https://pbs.twimg.com/profile_images/961588042267013120/XVP48peX.jpg","View")</f>
        <v>View</v>
      </c>
    </row>
    <row r="2356" spans="1:21" ht="51">
      <c r="A2356" s="6">
        <v>43426.542893518519</v>
      </c>
      <c r="B2356" s="7" t="str">
        <f>HYPERLINK("https://twitter.com/Don_Ogro","@Don_Ogro")</f>
        <v>@Don_Ogro</v>
      </c>
      <c r="C2356" s="8" t="s">
        <v>8468</v>
      </c>
      <c r="D2356" s="9" t="s">
        <v>8469</v>
      </c>
      <c r="E2356" s="10" t="str">
        <f>HYPERLINK("https://twitter.com/Don_Ogro/status/1065576068566921216","1065576068566921216")</f>
        <v>1065576068566921216</v>
      </c>
      <c r="F2356" s="12"/>
      <c r="G2356" s="12"/>
      <c r="H2356" s="12"/>
      <c r="I2356" s="13">
        <v>0</v>
      </c>
      <c r="J2356" s="13">
        <v>0</v>
      </c>
      <c r="K2356" s="14" t="str">
        <f t="shared" si="381"/>
        <v>Twitter Web Client</v>
      </c>
      <c r="L2356" s="13">
        <v>504</v>
      </c>
      <c r="M2356" s="13">
        <v>490</v>
      </c>
      <c r="N2356" s="13">
        <v>13</v>
      </c>
      <c r="O2356" s="15"/>
      <c r="P2356" s="6">
        <v>40450.679733796293</v>
      </c>
      <c r="Q2356" s="17" t="s">
        <v>8470</v>
      </c>
      <c r="R2356" s="18" t="s">
        <v>8471</v>
      </c>
      <c r="S2356" s="11" t="s">
        <v>8472</v>
      </c>
      <c r="T2356" s="12"/>
      <c r="U2356" s="10" t="str">
        <f>HYPERLINK("https://pbs.twimg.com/profile_images/2885186463/399dead172d4e9528123d34440b20635.png","View")</f>
        <v>View</v>
      </c>
    </row>
    <row r="2357" spans="1:21" ht="30.6">
      <c r="A2357" s="6">
        <v>43426.542361111111</v>
      </c>
      <c r="B2357" s="7" t="str">
        <f>HYPERLINK("https://twitter.com/FormulaTV","@FormulaTV")</f>
        <v>@FormulaTV</v>
      </c>
      <c r="C2357" s="8" t="s">
        <v>8473</v>
      </c>
      <c r="D2357" s="9" t="s">
        <v>8474</v>
      </c>
      <c r="E2357" s="10" t="str">
        <f>HYPERLINK("https://twitter.com/FormulaTV/status/1065575876174192649","1065575876174192649")</f>
        <v>1065575876174192649</v>
      </c>
      <c r="F2357" s="11" t="s">
        <v>8475</v>
      </c>
      <c r="G2357" s="11" t="s">
        <v>8476</v>
      </c>
      <c r="H2357" s="12"/>
      <c r="I2357" s="13">
        <v>0</v>
      </c>
      <c r="J2357" s="13">
        <v>5</v>
      </c>
      <c r="K2357" s="14" t="str">
        <f>HYPERLINK("http://www.noxvo.com","Noxvo")</f>
        <v>Noxvo</v>
      </c>
      <c r="L2357" s="13">
        <v>309944</v>
      </c>
      <c r="M2357" s="13">
        <v>894</v>
      </c>
      <c r="N2357" s="13">
        <v>2643</v>
      </c>
      <c r="O2357" s="16" t="s">
        <v>26</v>
      </c>
      <c r="P2357" s="6">
        <v>39778.002685185187</v>
      </c>
      <c r="Q2357" s="12"/>
      <c r="R2357" s="18" t="s">
        <v>8477</v>
      </c>
      <c r="S2357" s="11" t="s">
        <v>8478</v>
      </c>
      <c r="T2357" s="12"/>
      <c r="U2357" s="10" t="str">
        <f>HYPERLINK("https://pbs.twimg.com/profile_images/1016331738665152513/n4fp9Dpz.jpg","View")</f>
        <v>View</v>
      </c>
    </row>
    <row r="2358" spans="1:21" ht="51">
      <c r="A2358" s="6">
        <v>43426.540902777779</v>
      </c>
      <c r="B2358" s="7" t="str">
        <f>HYPERLINK("https://twitter.com/cabrerad26","@cabrerad26")</f>
        <v>@cabrerad26</v>
      </c>
      <c r="C2358" s="8" t="s">
        <v>7108</v>
      </c>
      <c r="D2358" s="9" t="s">
        <v>7672</v>
      </c>
      <c r="E2358" s="10" t="str">
        <f>HYPERLINK("https://twitter.com/cabrerad26/status/1065575346261643264","1065575346261643264")</f>
        <v>1065575346261643264</v>
      </c>
      <c r="F2358" s="12"/>
      <c r="G2358" s="11" t="s">
        <v>7673</v>
      </c>
      <c r="H2358" s="12"/>
      <c r="I2358" s="13">
        <v>13</v>
      </c>
      <c r="J2358" s="13">
        <v>17</v>
      </c>
      <c r="K2358" s="14" t="str">
        <f t="shared" ref="K2358:K2359" si="382">HYPERLINK("http://twitter.com","Twitter Web Client")</f>
        <v>Twitter Web Client</v>
      </c>
      <c r="L2358" s="13">
        <v>449</v>
      </c>
      <c r="M2358" s="13">
        <v>337</v>
      </c>
      <c r="N2358" s="13">
        <v>4</v>
      </c>
      <c r="O2358" s="15"/>
      <c r="P2358" s="6">
        <v>40590.174629629633</v>
      </c>
      <c r="Q2358" s="12"/>
      <c r="R2358" s="18" t="s">
        <v>7111</v>
      </c>
      <c r="S2358" s="12"/>
      <c r="T2358" s="12"/>
      <c r="U2358" s="10" t="str">
        <f>HYPERLINK("https://pbs.twimg.com/profile_images/1055430275864453126/oyimpyzG.jpg","View")</f>
        <v>View</v>
      </c>
    </row>
    <row r="2359" spans="1:21" ht="30.6">
      <c r="A2359" s="6">
        <v>43426.540196759262</v>
      </c>
      <c r="B2359" s="7" t="str">
        <f>HYPERLINK("https://twitter.com/ontibe","@ontibe")</f>
        <v>@ontibe</v>
      </c>
      <c r="C2359" s="8" t="s">
        <v>1057</v>
      </c>
      <c r="D2359" s="9" t="s">
        <v>8479</v>
      </c>
      <c r="E2359" s="10" t="str">
        <f>HYPERLINK("https://twitter.com/ontibe/status/1065575087863209984","1065575087863209984")</f>
        <v>1065575087863209984</v>
      </c>
      <c r="F2359" s="11" t="s">
        <v>7252</v>
      </c>
      <c r="G2359" s="12"/>
      <c r="H2359" s="12"/>
      <c r="I2359" s="13">
        <v>0</v>
      </c>
      <c r="J2359" s="13">
        <v>0</v>
      </c>
      <c r="K2359" s="14" t="str">
        <f t="shared" si="382"/>
        <v>Twitter Web Client</v>
      </c>
      <c r="L2359" s="13">
        <v>432</v>
      </c>
      <c r="M2359" s="13">
        <v>1265</v>
      </c>
      <c r="N2359" s="13">
        <v>1</v>
      </c>
      <c r="O2359" s="15"/>
      <c r="P2359" s="6">
        <v>40673.627766203703</v>
      </c>
      <c r="Q2359" s="17" t="s">
        <v>1058</v>
      </c>
      <c r="R2359" s="18" t="s">
        <v>1059</v>
      </c>
      <c r="S2359" s="12"/>
      <c r="T2359" s="12"/>
      <c r="U2359" s="10" t="str">
        <f>HYPERLINK("https://pbs.twimg.com/profile_images/867069058037972993/9c2-Wrp7.jpg","View")</f>
        <v>View</v>
      </c>
    </row>
    <row r="2360" spans="1:21" ht="40.799999999999997">
      <c r="A2360" s="6">
        <v>43426.539965277778</v>
      </c>
      <c r="B2360" s="7" t="str">
        <f>HYPERLINK("https://twitter.com/JoseLui43872588","@JoseLui43872588")</f>
        <v>@JoseLui43872588</v>
      </c>
      <c r="C2360" s="8" t="s">
        <v>1947</v>
      </c>
      <c r="D2360" s="9" t="s">
        <v>8480</v>
      </c>
      <c r="E2360" s="10" t="str">
        <f>HYPERLINK("https://twitter.com/JoseLui43872588/status/1065575005579284480","1065575005579284480")</f>
        <v>1065575005579284480</v>
      </c>
      <c r="F2360" s="12"/>
      <c r="G2360" s="12"/>
      <c r="H2360" s="12"/>
      <c r="I2360" s="13">
        <v>0</v>
      </c>
      <c r="J2360" s="13">
        <v>0</v>
      </c>
      <c r="K2360" s="14" t="str">
        <f>HYPERLINK("http://twitter.com/download/android","Twitter for Android")</f>
        <v>Twitter for Android</v>
      </c>
      <c r="L2360" s="13">
        <v>512</v>
      </c>
      <c r="M2360" s="13">
        <v>128</v>
      </c>
      <c r="N2360" s="13">
        <v>7</v>
      </c>
      <c r="O2360" s="15"/>
      <c r="P2360" s="6">
        <v>42705.999224537038</v>
      </c>
      <c r="Q2360" s="17" t="s">
        <v>810</v>
      </c>
      <c r="R2360" s="18" t="s">
        <v>1949</v>
      </c>
      <c r="S2360" s="12"/>
      <c r="T2360" s="12"/>
      <c r="U2360" s="10" t="str">
        <f>HYPERLINK("https://pbs.twimg.com/profile_images/1009872713064820737/I4zrX8RR.jpg","View")</f>
        <v>View</v>
      </c>
    </row>
    <row r="2361" spans="1:21" ht="71.400000000000006">
      <c r="A2361" s="6">
        <v>43426.539803240739</v>
      </c>
      <c r="B2361" s="7" t="str">
        <f>HYPERLINK("https://twitter.com/Brocetatto","@Brocetatto")</f>
        <v>@Brocetatto</v>
      </c>
      <c r="C2361" s="8" t="s">
        <v>8481</v>
      </c>
      <c r="D2361" s="9" t="s">
        <v>8482</v>
      </c>
      <c r="E2361" s="10" t="str">
        <f>HYPERLINK("https://twitter.com/Brocetatto/status/1065574947387596801","1065574947387596801")</f>
        <v>1065574947387596801</v>
      </c>
      <c r="F2361" s="11" t="s">
        <v>7125</v>
      </c>
      <c r="G2361" s="11" t="s">
        <v>7126</v>
      </c>
      <c r="H2361" s="12"/>
      <c r="I2361" s="13">
        <v>3</v>
      </c>
      <c r="J2361" s="13">
        <v>3</v>
      </c>
      <c r="K2361" s="14" t="str">
        <f t="shared" ref="K2361:K2362" si="383">HYPERLINK("http://twitter.com/download/iphone","Twitter for iPhone")</f>
        <v>Twitter for iPhone</v>
      </c>
      <c r="L2361" s="13">
        <v>826</v>
      </c>
      <c r="M2361" s="13">
        <v>771</v>
      </c>
      <c r="N2361" s="13">
        <v>2</v>
      </c>
      <c r="O2361" s="15"/>
      <c r="P2361" s="6">
        <v>40682.619837962964</v>
      </c>
      <c r="Q2361" s="17" t="s">
        <v>8483</v>
      </c>
      <c r="R2361" s="18" t="s">
        <v>8484</v>
      </c>
      <c r="S2361" s="12"/>
      <c r="T2361" s="12"/>
      <c r="U2361" s="10" t="str">
        <f>HYPERLINK("https://pbs.twimg.com/profile_images/2622258176/image.jpg","View")</f>
        <v>View</v>
      </c>
    </row>
    <row r="2362" spans="1:21" ht="20.399999999999999">
      <c r="A2362" s="6">
        <v>43426.539479166662</v>
      </c>
      <c r="B2362" s="7" t="str">
        <f>HYPERLINK("https://twitter.com/voxtorrelobaton","@voxtorrelobaton")</f>
        <v>@voxtorrelobaton</v>
      </c>
      <c r="C2362" s="8" t="s">
        <v>8485</v>
      </c>
      <c r="D2362" s="9" t="s">
        <v>1143</v>
      </c>
      <c r="E2362" s="10" t="str">
        <f>HYPERLINK("https://twitter.com/voxtorrelobaton/status/1065574828537782272","1065574828537782272")</f>
        <v>1065574828537782272</v>
      </c>
      <c r="F2362" s="11" t="s">
        <v>2352</v>
      </c>
      <c r="G2362" s="12"/>
      <c r="H2362" s="12"/>
      <c r="I2362" s="13">
        <v>0</v>
      </c>
      <c r="J2362" s="13">
        <v>1</v>
      </c>
      <c r="K2362" s="14" t="str">
        <f t="shared" si="383"/>
        <v>Twitter for iPhone</v>
      </c>
      <c r="L2362" s="13">
        <v>962</v>
      </c>
      <c r="M2362" s="13">
        <v>684</v>
      </c>
      <c r="N2362" s="13">
        <v>6</v>
      </c>
      <c r="O2362" s="15"/>
      <c r="P2362" s="6">
        <v>42128.946817129632</v>
      </c>
      <c r="Q2362" s="12"/>
      <c r="R2362" s="19"/>
      <c r="S2362" s="12"/>
      <c r="T2362" s="12"/>
      <c r="U2362" s="10" t="str">
        <f>HYPERLINK("https://pbs.twimg.com/profile_images/595328981173407744/NRxTqod7.jpg","View")</f>
        <v>View</v>
      </c>
    </row>
    <row r="2363" spans="1:21" ht="30.6">
      <c r="A2363" s="6">
        <v>43426.537499999999</v>
      </c>
      <c r="B2363" s="7" t="str">
        <f>HYPERLINK("https://twitter.com/pressdigital","@pressdigital")</f>
        <v>@pressdigital</v>
      </c>
      <c r="C2363" s="8" t="s">
        <v>990</v>
      </c>
      <c r="D2363" s="9" t="s">
        <v>8486</v>
      </c>
      <c r="E2363" s="10" t="str">
        <f>HYPERLINK("https://twitter.com/pressdigital/status/1065574113807396864","1065574113807396864")</f>
        <v>1065574113807396864</v>
      </c>
      <c r="F2363" s="11" t="s">
        <v>8487</v>
      </c>
      <c r="G2363" s="12"/>
      <c r="H2363" s="12"/>
      <c r="I2363" s="13">
        <v>0</v>
      </c>
      <c r="J2363" s="13">
        <v>0</v>
      </c>
      <c r="K2363" s="14" t="str">
        <f>HYPERLINK("https://buffer.com","Buffer")</f>
        <v>Buffer</v>
      </c>
      <c r="L2363" s="13">
        <v>1203</v>
      </c>
      <c r="M2363" s="13">
        <v>1054</v>
      </c>
      <c r="N2363" s="13">
        <v>73</v>
      </c>
      <c r="O2363" s="15"/>
      <c r="P2363" s="6">
        <v>40142.836041666669</v>
      </c>
      <c r="Q2363" s="17" t="s">
        <v>28</v>
      </c>
      <c r="R2363" s="18" t="s">
        <v>993</v>
      </c>
      <c r="S2363" s="11" t="s">
        <v>994</v>
      </c>
      <c r="T2363" s="12"/>
      <c r="U2363" s="10" t="str">
        <f>HYPERLINK("https://pbs.twimg.com/profile_images/686495616231444480/68bUHQ6J.jpg","View")</f>
        <v>View</v>
      </c>
    </row>
    <row r="2364" spans="1:21" ht="40.799999999999997">
      <c r="A2364" s="6">
        <v>43426.535497685181</v>
      </c>
      <c r="B2364" s="7" t="str">
        <f>HYPERLINK("https://twitter.com/jesuspedreira","@jesuspedreira")</f>
        <v>@jesuspedreira</v>
      </c>
      <c r="C2364" s="8" t="s">
        <v>8488</v>
      </c>
      <c r="D2364" s="9" t="s">
        <v>8489</v>
      </c>
      <c r="E2364" s="10" t="str">
        <f>HYPERLINK("https://twitter.com/jesuspedreira/status/1065573388066930694","1065573388066930694")</f>
        <v>1065573388066930694</v>
      </c>
      <c r="F2364" s="12"/>
      <c r="G2364" s="11" t="s">
        <v>8490</v>
      </c>
      <c r="H2364" s="12"/>
      <c r="I2364" s="13">
        <v>0</v>
      </c>
      <c r="J2364" s="13">
        <v>0</v>
      </c>
      <c r="K2364" s="14" t="str">
        <f t="shared" ref="K2364:K2365" si="384">HYPERLINK("http://twitter.com/download/iphone","Twitter for iPhone")</f>
        <v>Twitter for iPhone</v>
      </c>
      <c r="L2364" s="13">
        <v>1513</v>
      </c>
      <c r="M2364" s="13">
        <v>2473</v>
      </c>
      <c r="N2364" s="13">
        <v>38</v>
      </c>
      <c r="O2364" s="15"/>
      <c r="P2364" s="6">
        <v>40628.702615740738</v>
      </c>
      <c r="Q2364" s="17" t="s">
        <v>8491</v>
      </c>
      <c r="R2364" s="19"/>
      <c r="S2364" s="12"/>
      <c r="T2364" s="12"/>
      <c r="U2364" s="10" t="str">
        <f>HYPERLINK("https://pbs.twimg.com/profile_images/937409011586134016/bh9BxM24.jpg","View")</f>
        <v>View</v>
      </c>
    </row>
    <row r="2365" spans="1:21" ht="40.799999999999997">
      <c r="A2365" s="6">
        <v>43426.534780092596</v>
      </c>
      <c r="B2365" s="7" t="str">
        <f>HYPERLINK("https://twitter.com/ppmadrid","@ppmadrid")</f>
        <v>@ppmadrid</v>
      </c>
      <c r="C2365" s="8" t="s">
        <v>6128</v>
      </c>
      <c r="D2365" s="9" t="s">
        <v>8492</v>
      </c>
      <c r="E2365" s="10" t="str">
        <f>HYPERLINK("https://twitter.com/ppmadrid/status/1065573124853456896","1065573124853456896")</f>
        <v>1065573124853456896</v>
      </c>
      <c r="F2365" s="12"/>
      <c r="G2365" s="11" t="s">
        <v>8493</v>
      </c>
      <c r="H2365" s="12"/>
      <c r="I2365" s="13">
        <v>10</v>
      </c>
      <c r="J2365" s="13">
        <v>10</v>
      </c>
      <c r="K2365" s="14" t="str">
        <f t="shared" si="384"/>
        <v>Twitter for iPhone</v>
      </c>
      <c r="L2365" s="13">
        <v>101822</v>
      </c>
      <c r="M2365" s="13">
        <v>5999</v>
      </c>
      <c r="N2365" s="13">
        <v>979</v>
      </c>
      <c r="O2365" s="16" t="s">
        <v>26</v>
      </c>
      <c r="P2365" s="6">
        <v>39827.687893518516</v>
      </c>
      <c r="Q2365" s="17" t="s">
        <v>392</v>
      </c>
      <c r="R2365" s="18" t="s">
        <v>6131</v>
      </c>
      <c r="S2365" s="11" t="s">
        <v>6132</v>
      </c>
      <c r="T2365" s="12"/>
      <c r="U2365" s="10" t="str">
        <f>HYPERLINK("https://pbs.twimg.com/profile_images/1053557531111538693/SBAQ7f5C.jpg","View")</f>
        <v>View</v>
      </c>
    </row>
    <row r="2366" spans="1:21" ht="91.8">
      <c r="A2366" s="6">
        <v>43426.533483796295</v>
      </c>
      <c r="B2366" s="7" t="str">
        <f>HYPERLINK("https://twitter.com/Antonio29407099","@Antonio29407099")</f>
        <v>@Antonio29407099</v>
      </c>
      <c r="C2366" s="8" t="s">
        <v>2427</v>
      </c>
      <c r="D2366" s="9" t="s">
        <v>8494</v>
      </c>
      <c r="E2366" s="10" t="str">
        <f>HYPERLINK("https://twitter.com/Antonio29407099/status/1065572655728914432","1065572655728914432")</f>
        <v>1065572655728914432</v>
      </c>
      <c r="F2366" s="17" t="s">
        <v>8495</v>
      </c>
      <c r="G2366" s="12"/>
      <c r="H2366" s="12"/>
      <c r="I2366" s="13">
        <v>1</v>
      </c>
      <c r="J2366" s="13">
        <v>2</v>
      </c>
      <c r="K2366" s="14" t="str">
        <f>HYPERLINK("http://twitter.com","Twitter Web Client")</f>
        <v>Twitter Web Client</v>
      </c>
      <c r="L2366" s="13">
        <v>409</v>
      </c>
      <c r="M2366" s="13">
        <v>420</v>
      </c>
      <c r="N2366" s="13">
        <v>8</v>
      </c>
      <c r="O2366" s="15"/>
      <c r="P2366" s="6">
        <v>40986.32503472222</v>
      </c>
      <c r="Q2366" s="17" t="s">
        <v>2430</v>
      </c>
      <c r="R2366" s="18" t="s">
        <v>2431</v>
      </c>
      <c r="S2366" s="12"/>
      <c r="T2366" s="12"/>
      <c r="U2366" s="10" t="str">
        <f>HYPERLINK("https://pbs.twimg.com/profile_images/1065943948890382336/j9ezRSrk.jpg","View")</f>
        <v>View</v>
      </c>
    </row>
    <row r="2367" spans="1:21" ht="20.399999999999999">
      <c r="A2367" s="6">
        <v>43426.531365740739</v>
      </c>
      <c r="B2367" s="7" t="str">
        <f>HYPERLINK("https://twitter.com/lolapastur","@lolapastur")</f>
        <v>@lolapastur</v>
      </c>
      <c r="C2367" s="8" t="s">
        <v>1329</v>
      </c>
      <c r="D2367" s="9" t="s">
        <v>7931</v>
      </c>
      <c r="E2367" s="10" t="str">
        <f>HYPERLINK("https://twitter.com/lolapastur/status/1065571889035337730","1065571889035337730")</f>
        <v>1065571889035337730</v>
      </c>
      <c r="F2367" s="11" t="s">
        <v>8496</v>
      </c>
      <c r="G2367" s="12"/>
      <c r="H2367" s="12"/>
      <c r="I2367" s="13">
        <v>0</v>
      </c>
      <c r="J2367" s="13">
        <v>0</v>
      </c>
      <c r="K2367" s="14" t="str">
        <f>HYPERLINK("http://twitter.com/download/iphone","Twitter for iPhone")</f>
        <v>Twitter for iPhone</v>
      </c>
      <c r="L2367" s="13">
        <v>3768</v>
      </c>
      <c r="M2367" s="13">
        <v>2836</v>
      </c>
      <c r="N2367" s="13">
        <v>32</v>
      </c>
      <c r="O2367" s="15"/>
      <c r="P2367" s="6">
        <v>40913.599293981482</v>
      </c>
      <c r="Q2367" s="12"/>
      <c r="R2367" s="18" t="s">
        <v>1332</v>
      </c>
      <c r="S2367" s="12"/>
      <c r="T2367" s="12"/>
      <c r="U2367" s="10" t="str">
        <f>HYPERLINK("https://pbs.twimg.com/profile_images/934821295736451073/tnymHvNj.jpg","View")</f>
        <v>View</v>
      </c>
    </row>
    <row r="2368" spans="1:21" ht="20.399999999999999">
      <c r="A2368" s="6">
        <v>43426.53125</v>
      </c>
      <c r="B2368" s="7" t="str">
        <f>HYPERLINK("https://twitter.com/bolsamania","@bolsamania")</f>
        <v>@bolsamania</v>
      </c>
      <c r="C2368" s="8" t="s">
        <v>8071</v>
      </c>
      <c r="D2368" s="9" t="s">
        <v>8497</v>
      </c>
      <c r="E2368" s="10" t="str">
        <f>HYPERLINK("https://twitter.com/bolsamania/status/1065571846978973696","1065571846978973696")</f>
        <v>1065571846978973696</v>
      </c>
      <c r="F2368" s="11" t="s">
        <v>8498</v>
      </c>
      <c r="G2368" s="12"/>
      <c r="H2368" s="12"/>
      <c r="I2368" s="13">
        <v>0</v>
      </c>
      <c r="J2368" s="13">
        <v>0</v>
      </c>
      <c r="K2368" s="14" t="str">
        <f>HYPERLINK("https://about.twitter.com/products/tweetdeck","TweetDeck")</f>
        <v>TweetDeck</v>
      </c>
      <c r="L2368" s="13">
        <v>39963</v>
      </c>
      <c r="M2368" s="13">
        <v>387</v>
      </c>
      <c r="N2368" s="13">
        <v>1490</v>
      </c>
      <c r="O2368" s="16" t="s">
        <v>26</v>
      </c>
      <c r="P2368" s="6">
        <v>40023.9996412037</v>
      </c>
      <c r="Q2368" s="17" t="s">
        <v>72</v>
      </c>
      <c r="R2368" s="18" t="s">
        <v>8074</v>
      </c>
      <c r="S2368" s="11" t="s">
        <v>8075</v>
      </c>
      <c r="T2368" s="12"/>
      <c r="U2368" s="10" t="str">
        <f>HYPERLINK("https://pbs.twimg.com/profile_images/875625319259971585/-BMlE8xr.jpg","View")</f>
        <v>View</v>
      </c>
    </row>
    <row r="2369" spans="1:21" ht="40.799999999999997">
      <c r="A2369" s="6">
        <v>43426.530833333338</v>
      </c>
      <c r="B2369" s="7" t="str">
        <f>HYPERLINK("https://twitter.com/ainhoa_mhoyos","@ainhoa_mhoyos")</f>
        <v>@ainhoa_mhoyos</v>
      </c>
      <c r="C2369" s="8" t="s">
        <v>871</v>
      </c>
      <c r="D2369" s="9" t="s">
        <v>8499</v>
      </c>
      <c r="E2369" s="10" t="str">
        <f>HYPERLINK("https://twitter.com/ainhoa_mhoyos/status/1065571698429300737","1065571698429300737")</f>
        <v>1065571698429300737</v>
      </c>
      <c r="F2369" s="11" t="s">
        <v>7252</v>
      </c>
      <c r="G2369" s="12"/>
      <c r="H2369" s="12"/>
      <c r="I2369" s="13">
        <v>1</v>
      </c>
      <c r="J2369" s="13">
        <v>3</v>
      </c>
      <c r="K2369" s="14" t="str">
        <f>HYPERLINK("http://twitter.com/download/iphone","Twitter for iPhone")</f>
        <v>Twitter for iPhone</v>
      </c>
      <c r="L2369" s="13">
        <v>689</v>
      </c>
      <c r="M2369" s="13">
        <v>777</v>
      </c>
      <c r="N2369" s="13">
        <v>17</v>
      </c>
      <c r="O2369" s="15"/>
      <c r="P2369" s="6">
        <v>40689.856469907405</v>
      </c>
      <c r="Q2369" s="12"/>
      <c r="R2369" s="18" t="s">
        <v>874</v>
      </c>
      <c r="S2369" s="11" t="s">
        <v>875</v>
      </c>
      <c r="T2369" s="12"/>
      <c r="U2369" s="10" t="str">
        <f>HYPERLINK("https://pbs.twimg.com/profile_images/788468170524950528/aetGUEYr.jpg","View")</f>
        <v>View</v>
      </c>
    </row>
    <row r="2370" spans="1:21" ht="40.799999999999997">
      <c r="A2370" s="6">
        <v>43426.530324074076</v>
      </c>
      <c r="B2370" s="7" t="str">
        <f>HYPERLINK("https://twitter.com/novomedinilla","@novomedinilla")</f>
        <v>@novomedinilla</v>
      </c>
      <c r="C2370" s="8" t="s">
        <v>8500</v>
      </c>
      <c r="D2370" s="9" t="s">
        <v>8501</v>
      </c>
      <c r="E2370" s="10" t="str">
        <f>HYPERLINK("https://twitter.com/novomedinilla/status/1065571512667770881","1065571512667770881")</f>
        <v>1065571512667770881</v>
      </c>
      <c r="F2370" s="11" t="s">
        <v>8502</v>
      </c>
      <c r="G2370" s="12"/>
      <c r="H2370" s="12"/>
      <c r="I2370" s="13">
        <v>2</v>
      </c>
      <c r="J2370" s="13">
        <v>3</v>
      </c>
      <c r="K2370" s="14" t="str">
        <f>HYPERLINK("http://twitter.com/download/android","Twitter for Android")</f>
        <v>Twitter for Android</v>
      </c>
      <c r="L2370" s="13">
        <v>10648</v>
      </c>
      <c r="M2370" s="13">
        <v>9714</v>
      </c>
      <c r="N2370" s="13">
        <v>86</v>
      </c>
      <c r="O2370" s="15"/>
      <c r="P2370" s="6">
        <v>40424.661354166667</v>
      </c>
      <c r="Q2370" s="17" t="s">
        <v>8503</v>
      </c>
      <c r="R2370" s="18" t="s">
        <v>8504</v>
      </c>
      <c r="S2370" s="11" t="s">
        <v>8505</v>
      </c>
      <c r="T2370" s="12"/>
      <c r="U2370" s="10" t="str">
        <f>HYPERLINK("https://pbs.twimg.com/profile_images/986522746967511040/mbYZaTmD.jpg","View")</f>
        <v>View</v>
      </c>
    </row>
    <row r="2371" spans="1:21" ht="20.399999999999999">
      <c r="A2371" s="6">
        <v>43426.529641203699</v>
      </c>
      <c r="B2371" s="7" t="str">
        <f>HYPERLINK("https://twitter.com/viedma32","@viedma32")</f>
        <v>@viedma32</v>
      </c>
      <c r="C2371" s="8" t="s">
        <v>8506</v>
      </c>
      <c r="D2371" s="9" t="s">
        <v>1143</v>
      </c>
      <c r="E2371" s="10" t="str">
        <f>HYPERLINK("https://twitter.com/viedma32/status/1065571264188858368","1065571264188858368")</f>
        <v>1065571264188858368</v>
      </c>
      <c r="F2371" s="11" t="s">
        <v>8507</v>
      </c>
      <c r="G2371" s="12"/>
      <c r="H2371" s="12"/>
      <c r="I2371" s="13">
        <v>0</v>
      </c>
      <c r="J2371" s="13">
        <v>0</v>
      </c>
      <c r="K2371" s="14" t="str">
        <f>HYPERLINK("http://twitter.com/#!/download/ipad","Twitter for iPad")</f>
        <v>Twitter for iPad</v>
      </c>
      <c r="L2371" s="13">
        <v>748</v>
      </c>
      <c r="M2371" s="13">
        <v>1815</v>
      </c>
      <c r="N2371" s="13">
        <v>47</v>
      </c>
      <c r="O2371" s="15"/>
      <c r="P2371" s="6">
        <v>40230.726689814815</v>
      </c>
      <c r="Q2371" s="17" t="s">
        <v>8508</v>
      </c>
      <c r="R2371" s="19"/>
      <c r="S2371" s="12"/>
      <c r="T2371" s="12"/>
      <c r="U2371" s="10" t="str">
        <f>HYPERLINK("https://pbs.twimg.com/profile_images/378800000662226143/8925c4cd235d633631dd16485e4c351f.jpeg","View")</f>
        <v>View</v>
      </c>
    </row>
    <row r="2372" spans="1:21" ht="40.799999999999997">
      <c r="A2372" s="6">
        <v>43426.52888888889</v>
      </c>
      <c r="B2372" s="7" t="str">
        <f>HYPERLINK("https://twitter.com/poligali","@poligali")</f>
        <v>@poligali</v>
      </c>
      <c r="C2372" s="8" t="s">
        <v>8509</v>
      </c>
      <c r="D2372" s="9" t="s">
        <v>8510</v>
      </c>
      <c r="E2372" s="10" t="str">
        <f>HYPERLINK("https://twitter.com/poligali/status/1065570991059988480","1065570991059988480")</f>
        <v>1065570991059988480</v>
      </c>
      <c r="F2372" s="11" t="s">
        <v>8511</v>
      </c>
      <c r="G2372" s="12"/>
      <c r="H2372" s="12"/>
      <c r="I2372" s="13">
        <v>0</v>
      </c>
      <c r="J2372" s="13">
        <v>0</v>
      </c>
      <c r="K2372" s="14" t="str">
        <f>HYPERLINK("http://www.facebook.com/twitter","Facebook")</f>
        <v>Facebook</v>
      </c>
      <c r="L2372" s="13">
        <v>51</v>
      </c>
      <c r="M2372" s="13">
        <v>80</v>
      </c>
      <c r="N2372" s="13">
        <v>0</v>
      </c>
      <c r="O2372" s="15"/>
      <c r="P2372" s="6">
        <v>40915.025370370371</v>
      </c>
      <c r="Q2372" s="17" t="s">
        <v>8512</v>
      </c>
      <c r="R2372" s="19"/>
      <c r="S2372" s="12"/>
      <c r="T2372" s="12"/>
      <c r="U2372" s="10" t="str">
        <f>HYPERLINK("https://pbs.twimg.com/profile_images/672532657327071232/azWSavre.png","View")</f>
        <v>View</v>
      </c>
    </row>
    <row r="2373" spans="1:21" ht="51">
      <c r="A2373" s="6">
        <v>43426.528611111113</v>
      </c>
      <c r="B2373" s="7" t="str">
        <f>HYPERLINK("https://twitter.com/InformadorVeraz","@InformadorVeraz")</f>
        <v>@InformadorVeraz</v>
      </c>
      <c r="C2373" s="8" t="s">
        <v>8513</v>
      </c>
      <c r="D2373" s="9" t="s">
        <v>8514</v>
      </c>
      <c r="E2373" s="10" t="str">
        <f>HYPERLINK("https://twitter.com/InformadorVeraz/status/1065570892632256513","1065570892632256513")</f>
        <v>1065570892632256513</v>
      </c>
      <c r="F2373" s="11" t="s">
        <v>8515</v>
      </c>
      <c r="G2373" s="11" t="s">
        <v>8516</v>
      </c>
      <c r="H2373" s="12"/>
      <c r="I2373" s="13">
        <v>5</v>
      </c>
      <c r="J2373" s="13">
        <v>0</v>
      </c>
      <c r="K2373" s="14" t="str">
        <f>HYPERLINK("http://twitter.com","Twitter Web Client")</f>
        <v>Twitter Web Client</v>
      </c>
      <c r="L2373" s="13">
        <v>316850</v>
      </c>
      <c r="M2373" s="13">
        <v>688</v>
      </c>
      <c r="N2373" s="13">
        <v>2331</v>
      </c>
      <c r="O2373" s="15"/>
      <c r="P2373" s="6">
        <v>40153.778564814813</v>
      </c>
      <c r="Q2373" s="17" t="s">
        <v>8517</v>
      </c>
      <c r="R2373" s="18" t="s">
        <v>8518</v>
      </c>
      <c r="S2373" s="12"/>
      <c r="T2373" s="12"/>
      <c r="U2373" s="10" t="str">
        <f>HYPERLINK("https://pbs.twimg.com/profile_images/950299541965803520/DGQ92shu.jpg","View")</f>
        <v>View</v>
      </c>
    </row>
    <row r="2374" spans="1:21" ht="20.399999999999999">
      <c r="A2374" s="6">
        <v>43426.527314814812</v>
      </c>
      <c r="B2374" s="7" t="str">
        <f>HYPERLINK("https://twitter.com/erwinSmith_AoT","@erwinSmith_AoT")</f>
        <v>@erwinSmith_AoT</v>
      </c>
      <c r="C2374" s="8" t="s">
        <v>8519</v>
      </c>
      <c r="D2374" s="9" t="s">
        <v>8520</v>
      </c>
      <c r="E2374" s="10" t="str">
        <f>HYPERLINK("https://twitter.com/erwinSmith_AoT/status/1065570422660435968","1065570422660435968")</f>
        <v>1065570422660435968</v>
      </c>
      <c r="F2374" s="12"/>
      <c r="G2374" s="12"/>
      <c r="H2374" s="12"/>
      <c r="I2374" s="13">
        <v>0</v>
      </c>
      <c r="J2374" s="13">
        <v>0</v>
      </c>
      <c r="K2374" s="14" t="str">
        <f>HYPERLINK("http://twitter.com/download/android","Twitter for Android")</f>
        <v>Twitter for Android</v>
      </c>
      <c r="L2374" s="13">
        <v>43</v>
      </c>
      <c r="M2374" s="13">
        <v>178</v>
      </c>
      <c r="N2374" s="13">
        <v>0</v>
      </c>
      <c r="O2374" s="15"/>
      <c r="P2374" s="6">
        <v>42638.635636574079</v>
      </c>
      <c r="Q2374" s="17" t="s">
        <v>8521</v>
      </c>
      <c r="R2374" s="18" t="s">
        <v>8522</v>
      </c>
      <c r="S2374" s="12"/>
      <c r="T2374" s="12"/>
      <c r="U2374" s="10" t="str">
        <f>HYPERLINK("https://pbs.twimg.com/profile_images/1033809470634303488/_xSFJbfX.jpg","View")</f>
        <v>View</v>
      </c>
    </row>
    <row r="2375" spans="1:21" ht="30.6">
      <c r="A2375" s="6">
        <v>43426.527280092589</v>
      </c>
      <c r="B2375" s="7" t="str">
        <f>HYPERLINK("https://twitter.com/HechosdeHoy","@HechosdeHoy")</f>
        <v>@HechosdeHoy</v>
      </c>
      <c r="C2375" s="8" t="s">
        <v>8523</v>
      </c>
      <c r="D2375" s="9" t="s">
        <v>8524</v>
      </c>
      <c r="E2375" s="10" t="str">
        <f>HYPERLINK("https://twitter.com/HechosdeHoy/status/1065570408437612545","1065570408437612545")</f>
        <v>1065570408437612545</v>
      </c>
      <c r="F2375" s="11" t="s">
        <v>8525</v>
      </c>
      <c r="G2375" s="12"/>
      <c r="H2375" s="12"/>
      <c r="I2375" s="13">
        <v>0</v>
      </c>
      <c r="J2375" s="13">
        <v>0</v>
      </c>
      <c r="K2375" s="14" t="str">
        <f>HYPERLINK("https://www.hootsuite.com","Hootsuite Inc.")</f>
        <v>Hootsuite Inc.</v>
      </c>
      <c r="L2375" s="13">
        <v>1703</v>
      </c>
      <c r="M2375" s="13">
        <v>192</v>
      </c>
      <c r="N2375" s="13">
        <v>154</v>
      </c>
      <c r="O2375" s="15"/>
      <c r="P2375" s="6">
        <v>40218.855428240742</v>
      </c>
      <c r="Q2375" s="17" t="s">
        <v>436</v>
      </c>
      <c r="R2375" s="18" t="s">
        <v>8526</v>
      </c>
      <c r="S2375" s="11" t="s">
        <v>6521</v>
      </c>
      <c r="T2375" s="12"/>
      <c r="U2375" s="10" t="str">
        <f>HYPERLINK("https://pbs.twimg.com/profile_images/464409453521940481/yT0nJ-FF.jpeg","View")</f>
        <v>View</v>
      </c>
    </row>
    <row r="2376" spans="1:21" ht="51">
      <c r="A2376" s="6">
        <v>43426.527233796296</v>
      </c>
      <c r="B2376" s="7" t="str">
        <f>HYPERLINK("https://twitter.com/FroilLannister","@FroilLannister")</f>
        <v>@FroilLannister</v>
      </c>
      <c r="C2376" s="8" t="s">
        <v>8527</v>
      </c>
      <c r="D2376" s="9" t="s">
        <v>8528</v>
      </c>
      <c r="E2376" s="10" t="str">
        <f>HYPERLINK("https://twitter.com/FroilLannister/status/1065570391685586944","1065570391685586944")</f>
        <v>1065570391685586944</v>
      </c>
      <c r="F2376" s="12"/>
      <c r="G2376" s="11" t="s">
        <v>8529</v>
      </c>
      <c r="H2376" s="12"/>
      <c r="I2376" s="13">
        <v>28</v>
      </c>
      <c r="J2376" s="13">
        <v>40</v>
      </c>
      <c r="K2376" s="14" t="str">
        <f t="shared" ref="K2376:K2377" si="385">HYPERLINK("http://twitter.com","Twitter Web Client")</f>
        <v>Twitter Web Client</v>
      </c>
      <c r="L2376" s="13">
        <v>34717</v>
      </c>
      <c r="M2376" s="13">
        <v>367</v>
      </c>
      <c r="N2376" s="13">
        <v>253</v>
      </c>
      <c r="O2376" s="15"/>
      <c r="P2376" s="6">
        <v>40022.456111111111</v>
      </c>
      <c r="Q2376" s="17" t="s">
        <v>28</v>
      </c>
      <c r="R2376" s="18" t="s">
        <v>8530</v>
      </c>
      <c r="S2376" s="11" t="s">
        <v>8531</v>
      </c>
      <c r="T2376" s="12"/>
      <c r="U2376" s="10" t="str">
        <f>HYPERLINK("https://pbs.twimg.com/profile_images/956967811280236544/O95sSr-k.jpg","View")</f>
        <v>View</v>
      </c>
    </row>
    <row r="2377" spans="1:21" ht="51">
      <c r="A2377" s="6">
        <v>43426.527199074073</v>
      </c>
      <c r="B2377" s="7" t="str">
        <f>HYPERLINK("https://twitter.com/Gorman_Freeman","@Gorman_Freeman")</f>
        <v>@Gorman_Freeman</v>
      </c>
      <c r="C2377" s="8" t="s">
        <v>8532</v>
      </c>
      <c r="D2377" s="9" t="s">
        <v>8533</v>
      </c>
      <c r="E2377" s="10" t="str">
        <f>HYPERLINK("https://twitter.com/Gorman_Freeman/status/1065570378796404736","1065570378796404736")</f>
        <v>1065570378796404736</v>
      </c>
      <c r="F2377" s="12"/>
      <c r="G2377" s="12"/>
      <c r="H2377" s="12"/>
      <c r="I2377" s="13">
        <v>1</v>
      </c>
      <c r="J2377" s="13">
        <v>1</v>
      </c>
      <c r="K2377" s="14" t="str">
        <f t="shared" si="385"/>
        <v>Twitter Web Client</v>
      </c>
      <c r="L2377" s="13">
        <v>2625</v>
      </c>
      <c r="M2377" s="13">
        <v>2508</v>
      </c>
      <c r="N2377" s="13">
        <v>7</v>
      </c>
      <c r="O2377" s="15"/>
      <c r="P2377" s="6">
        <v>42326.637604166666</v>
      </c>
      <c r="Q2377" s="17" t="s">
        <v>8534</v>
      </c>
      <c r="R2377" s="18" t="s">
        <v>8535</v>
      </c>
      <c r="S2377" s="12"/>
      <c r="T2377" s="12"/>
      <c r="U2377" s="10" t="str">
        <f>HYPERLINK("https://pbs.twimg.com/profile_images/988522327934689282/qd4zRe-9.jpg","View")</f>
        <v>View</v>
      </c>
    </row>
    <row r="2378" spans="1:21" ht="30.6">
      <c r="A2378" s="6">
        <v>43426.527141203704</v>
      </c>
      <c r="B2378" s="7" t="str">
        <f>HYPERLINK("https://twitter.com/AngelikaKLoewe","@AngelikaKLoewe")</f>
        <v>@AngelikaKLoewe</v>
      </c>
      <c r="C2378" s="8" t="s">
        <v>8536</v>
      </c>
      <c r="D2378" s="9" t="s">
        <v>8524</v>
      </c>
      <c r="E2378" s="10" t="str">
        <f>HYPERLINK("https://twitter.com/AngelikaKLoewe/status/1065570358466682881","1065570358466682881")</f>
        <v>1065570358466682881</v>
      </c>
      <c r="F2378" s="11" t="s">
        <v>8525</v>
      </c>
      <c r="G2378" s="12"/>
      <c r="H2378" s="12"/>
      <c r="I2378" s="13">
        <v>0</v>
      </c>
      <c r="J2378" s="13">
        <v>0</v>
      </c>
      <c r="K2378" s="14" t="str">
        <f>HYPERLINK("https://www.hootsuite.com","Hootsuite Inc.")</f>
        <v>Hootsuite Inc.</v>
      </c>
      <c r="L2378" s="13">
        <v>486</v>
      </c>
      <c r="M2378" s="13">
        <v>281</v>
      </c>
      <c r="N2378" s="13">
        <v>131</v>
      </c>
      <c r="O2378" s="15"/>
      <c r="P2378" s="6">
        <v>40790.94467592593</v>
      </c>
      <c r="Q2378" s="17" t="s">
        <v>28</v>
      </c>
      <c r="R2378" s="18" t="s">
        <v>8537</v>
      </c>
      <c r="S2378" s="11" t="s">
        <v>6521</v>
      </c>
      <c r="T2378" s="12"/>
      <c r="U2378" s="10" t="str">
        <f>HYPERLINK("https://pbs.twimg.com/profile_images/918571671069560832/Ne24q9Qu.jpg","View")</f>
        <v>View</v>
      </c>
    </row>
    <row r="2379" spans="1:21" ht="30.6">
      <c r="A2379" s="6">
        <v>43426.527094907404</v>
      </c>
      <c r="B2379" s="7" t="str">
        <f>HYPERLINK("https://twitter.com/pressdigital","@pressdigital")</f>
        <v>@pressdigital</v>
      </c>
      <c r="C2379" s="8" t="s">
        <v>990</v>
      </c>
      <c r="D2379" s="9" t="s">
        <v>8538</v>
      </c>
      <c r="E2379" s="10" t="str">
        <f>HYPERLINK("https://twitter.com/pressdigital/status/1065570340154339330","1065570340154339330")</f>
        <v>1065570340154339330</v>
      </c>
      <c r="F2379" s="11" t="s">
        <v>8539</v>
      </c>
      <c r="G2379" s="12"/>
      <c r="H2379" s="12"/>
      <c r="I2379" s="13">
        <v>0</v>
      </c>
      <c r="J2379" s="13">
        <v>0</v>
      </c>
      <c r="K2379" s="14" t="str">
        <f>HYPERLINK("https://buffer.com","Buffer")</f>
        <v>Buffer</v>
      </c>
      <c r="L2379" s="13">
        <v>1203</v>
      </c>
      <c r="M2379" s="13">
        <v>1054</v>
      </c>
      <c r="N2379" s="13">
        <v>73</v>
      </c>
      <c r="O2379" s="15"/>
      <c r="P2379" s="6">
        <v>40142.836041666669</v>
      </c>
      <c r="Q2379" s="17" t="s">
        <v>28</v>
      </c>
      <c r="R2379" s="18" t="s">
        <v>993</v>
      </c>
      <c r="S2379" s="11" t="s">
        <v>994</v>
      </c>
      <c r="T2379" s="12"/>
      <c r="U2379" s="10" t="str">
        <f>HYPERLINK("https://pbs.twimg.com/profile_images/686495616231444480/68bUHQ6J.jpg","View")</f>
        <v>View</v>
      </c>
    </row>
    <row r="2380" spans="1:21" ht="13.2">
      <c r="A2380" s="6">
        <v>43426.526620370365</v>
      </c>
      <c r="B2380" s="7" t="str">
        <f>HYPERLINK("https://twitter.com/TuiteoTachira","@TuiteoTachira")</f>
        <v>@TuiteoTachira</v>
      </c>
      <c r="C2380" s="8" t="s">
        <v>822</v>
      </c>
      <c r="D2380" s="9" t="s">
        <v>4463</v>
      </c>
      <c r="E2380" s="10" t="str">
        <f>HYPERLINK("https://twitter.com/TuiteoTachira/status/1065570167978164225","1065570167978164225")</f>
        <v>1065570167978164225</v>
      </c>
      <c r="F2380" s="11" t="s">
        <v>8540</v>
      </c>
      <c r="G2380" s="12"/>
      <c r="H2380" s="12"/>
      <c r="I2380" s="13">
        <v>0</v>
      </c>
      <c r="J2380" s="13">
        <v>0</v>
      </c>
      <c r="K2380" s="14" t="str">
        <f>HYPERLINK("https://ifttt.com","IFTTT")</f>
        <v>IFTTT</v>
      </c>
      <c r="L2380" s="13">
        <v>2760</v>
      </c>
      <c r="M2380" s="13">
        <v>285</v>
      </c>
      <c r="N2380" s="13">
        <v>66</v>
      </c>
      <c r="O2380" s="15"/>
      <c r="P2380" s="6">
        <v>41844.836377314816</v>
      </c>
      <c r="Q2380" s="12"/>
      <c r="R2380" s="19"/>
      <c r="S2380" s="12"/>
      <c r="T2380" s="12"/>
      <c r="U2380" s="10" t="str">
        <f>HYPERLINK("https://pbs.twimg.com/profile_images/492371228200415234/AuWjyDNv.jpeg","View")</f>
        <v>View</v>
      </c>
    </row>
    <row r="2381" spans="1:21" ht="40.799999999999997">
      <c r="A2381" s="6">
        <v>43426.526331018518</v>
      </c>
      <c r="B2381" s="7" t="str">
        <f>HYPERLINK("https://twitter.com/graduadosociala","@graduadosociala")</f>
        <v>@graduadosociala</v>
      </c>
      <c r="C2381" s="8" t="s">
        <v>8541</v>
      </c>
      <c r="D2381" s="9" t="s">
        <v>8542</v>
      </c>
      <c r="E2381" s="10" t="str">
        <f>HYPERLINK("https://twitter.com/graduadosociala/status/1065570064009711617","1065570064009711617")</f>
        <v>1065570064009711617</v>
      </c>
      <c r="F2381" s="11" t="s">
        <v>556</v>
      </c>
      <c r="G2381" s="12"/>
      <c r="H2381" s="12"/>
      <c r="I2381" s="13">
        <v>0</v>
      </c>
      <c r="J2381" s="13">
        <v>0</v>
      </c>
      <c r="K2381" s="14" t="str">
        <f>HYPERLINK("http://twitter.com","Twitter Web Client")</f>
        <v>Twitter Web Client</v>
      </c>
      <c r="L2381" s="13">
        <v>1022</v>
      </c>
      <c r="M2381" s="13">
        <v>707</v>
      </c>
      <c r="N2381" s="13">
        <v>40</v>
      </c>
      <c r="O2381" s="15"/>
      <c r="P2381" s="6">
        <v>41423.523541666669</v>
      </c>
      <c r="Q2381" s="17" t="s">
        <v>2710</v>
      </c>
      <c r="R2381" s="18" t="s">
        <v>8543</v>
      </c>
      <c r="S2381" s="11" t="s">
        <v>8544</v>
      </c>
      <c r="T2381" s="12"/>
      <c r="U2381" s="10" t="str">
        <f>HYPERLINK("https://pbs.twimg.com/profile_images/657171588190703616/8JwQlwVP.jpg","View")</f>
        <v>View</v>
      </c>
    </row>
    <row r="2382" spans="1:21" ht="20.399999999999999">
      <c r="A2382" s="6">
        <v>43426.526319444441</v>
      </c>
      <c r="B2382" s="7" t="str">
        <f>HYPERLINK("https://twitter.com/EI_MentaIista","@EI_MentaIista")</f>
        <v>@EI_MentaIista</v>
      </c>
      <c r="C2382" s="8" t="s">
        <v>8545</v>
      </c>
      <c r="D2382" s="9" t="s">
        <v>8546</v>
      </c>
      <c r="E2382" s="10" t="str">
        <f>HYPERLINK("https://twitter.com/EI_MentaIista/status/1065570059584790528","1065570059584790528")</f>
        <v>1065570059584790528</v>
      </c>
      <c r="F2382" s="11" t="s">
        <v>7776</v>
      </c>
      <c r="G2382" s="12"/>
      <c r="H2382" s="12"/>
      <c r="I2382" s="13">
        <v>1</v>
      </c>
      <c r="J2382" s="13">
        <v>1</v>
      </c>
      <c r="K2382" s="14" t="str">
        <f>HYPERLINK("http://twitter.com/download/android","Twitter for Android")</f>
        <v>Twitter for Android</v>
      </c>
      <c r="L2382" s="13">
        <v>834</v>
      </c>
      <c r="M2382" s="13">
        <v>911</v>
      </c>
      <c r="N2382" s="13">
        <v>1</v>
      </c>
      <c r="O2382" s="15"/>
      <c r="P2382" s="6">
        <v>43306.418229166666</v>
      </c>
      <c r="Q2382" s="17" t="s">
        <v>8547</v>
      </c>
      <c r="R2382" s="18" t="s">
        <v>8548</v>
      </c>
      <c r="S2382" s="12"/>
      <c r="T2382" s="12"/>
      <c r="U2382" s="10" t="str">
        <f>HYPERLINK("https://pbs.twimg.com/profile_images/1040895664174104576/79R4ghnM.jpg","View")</f>
        <v>View</v>
      </c>
    </row>
    <row r="2383" spans="1:21" ht="71.400000000000006">
      <c r="A2383" s="6">
        <v>43426.525497685187</v>
      </c>
      <c r="B2383" s="7" t="str">
        <f>HYPERLINK("https://twitter.com/mandril2000","@mandril2000")</f>
        <v>@mandril2000</v>
      </c>
      <c r="C2383" s="8" t="s">
        <v>8549</v>
      </c>
      <c r="D2383" s="9" t="s">
        <v>8550</v>
      </c>
      <c r="E2383" s="10" t="str">
        <f>HYPERLINK("https://twitter.com/mandril2000/status/1065569761348763648","1065569761348763648")</f>
        <v>1065569761348763648</v>
      </c>
      <c r="F2383" s="12"/>
      <c r="G2383" s="12"/>
      <c r="H2383" s="12"/>
      <c r="I2383" s="13">
        <v>0</v>
      </c>
      <c r="J2383" s="13">
        <v>1</v>
      </c>
      <c r="K2383" s="14" t="str">
        <f>HYPERLINK("http://twitter.com/#!/download/ipad","Twitter for iPad")</f>
        <v>Twitter for iPad</v>
      </c>
      <c r="L2383" s="13">
        <v>1943</v>
      </c>
      <c r="M2383" s="13">
        <v>2582</v>
      </c>
      <c r="N2383" s="13">
        <v>12</v>
      </c>
      <c r="O2383" s="15"/>
      <c r="P2383" s="6">
        <v>41778.912731481483</v>
      </c>
      <c r="Q2383" s="12"/>
      <c r="R2383" s="19"/>
      <c r="S2383" s="12"/>
      <c r="T2383" s="12"/>
      <c r="U2383" s="10" t="str">
        <f>HYPERLINK("https://pbs.twimg.com/profile_images/468753423794327552/7FayuS3K.jpeg","View")</f>
        <v>View</v>
      </c>
    </row>
    <row r="2384" spans="1:21" ht="40.799999999999997">
      <c r="A2384" s="6">
        <v>43426.525057870371</v>
      </c>
      <c r="B2384" s="7" t="str">
        <f>HYPERLINK("https://twitter.com/EspanaUnaNacion","@EspanaUnaNacion")</f>
        <v>@EspanaUnaNacion</v>
      </c>
      <c r="C2384" s="8" t="s">
        <v>8551</v>
      </c>
      <c r="D2384" s="9" t="s">
        <v>8552</v>
      </c>
      <c r="E2384" s="10" t="str">
        <f>HYPERLINK("https://twitter.com/EspanaUnaNacion/status/1065569603953278976","1065569603953278976")</f>
        <v>1065569603953278976</v>
      </c>
      <c r="F2384" s="11" t="s">
        <v>8553</v>
      </c>
      <c r="G2384" s="12"/>
      <c r="H2384" s="12"/>
      <c r="I2384" s="13">
        <v>12</v>
      </c>
      <c r="J2384" s="13">
        <v>12</v>
      </c>
      <c r="K2384" s="14" t="str">
        <f t="shared" ref="K2384:K2387" si="386">HYPERLINK("http://twitter.com/download/android","Twitter for Android")</f>
        <v>Twitter for Android</v>
      </c>
      <c r="L2384" s="13">
        <v>160</v>
      </c>
      <c r="M2384" s="13">
        <v>142</v>
      </c>
      <c r="N2384" s="13">
        <v>0</v>
      </c>
      <c r="O2384" s="15"/>
      <c r="P2384" s="6">
        <v>41767.485046296293</v>
      </c>
      <c r="Q2384" s="17" t="s">
        <v>28</v>
      </c>
      <c r="R2384" s="18" t="s">
        <v>8554</v>
      </c>
      <c r="S2384" s="11" t="s">
        <v>8555</v>
      </c>
      <c r="T2384" s="12"/>
      <c r="U2384" s="10" t="str">
        <f>HYPERLINK("https://pbs.twimg.com/profile_images/1064225358885646337/xnLWKDuK.jpg","View")</f>
        <v>View</v>
      </c>
    </row>
    <row r="2385" spans="1:21" ht="51">
      <c r="A2385" s="6">
        <v>43426.524467592593</v>
      </c>
      <c r="B2385" s="7" t="str">
        <f>HYPERLINK("https://twitter.com/cherines_pp","@cherines_pp")</f>
        <v>@cherines_pp</v>
      </c>
      <c r="C2385" s="8" t="s">
        <v>7457</v>
      </c>
      <c r="D2385" s="9" t="s">
        <v>8556</v>
      </c>
      <c r="E2385" s="10" t="str">
        <f>HYPERLINK("https://twitter.com/cherines_pp/status/1065569390618451969","1065569390618451969")</f>
        <v>1065569390618451969</v>
      </c>
      <c r="F2385" s="12"/>
      <c r="G2385" s="12"/>
      <c r="H2385" s="12"/>
      <c r="I2385" s="13">
        <v>26</v>
      </c>
      <c r="J2385" s="13">
        <v>32</v>
      </c>
      <c r="K2385" s="14" t="str">
        <f t="shared" si="386"/>
        <v>Twitter for Android</v>
      </c>
      <c r="L2385" s="13">
        <v>6002</v>
      </c>
      <c r="M2385" s="13">
        <v>2141</v>
      </c>
      <c r="N2385" s="13">
        <v>127</v>
      </c>
      <c r="O2385" s="16" t="s">
        <v>26</v>
      </c>
      <c r="P2385" s="6">
        <v>40978.688506944447</v>
      </c>
      <c r="Q2385" s="17" t="s">
        <v>2842</v>
      </c>
      <c r="R2385" s="18" t="s">
        <v>7460</v>
      </c>
      <c r="S2385" s="11" t="s">
        <v>7461</v>
      </c>
      <c r="T2385" s="12"/>
      <c r="U2385" s="10" t="str">
        <f>HYPERLINK("https://pbs.twimg.com/profile_images/875673176772136960/Hfm6KzeQ.jpg","View")</f>
        <v>View</v>
      </c>
    </row>
    <row r="2386" spans="1:21" ht="51">
      <c r="A2386" s="6">
        <v>43426.524247685185</v>
      </c>
      <c r="B2386" s="7" t="str">
        <f>HYPERLINK("https://twitter.com/indpcom","@indpcom")</f>
        <v>@indpcom</v>
      </c>
      <c r="C2386" s="8" t="s">
        <v>2568</v>
      </c>
      <c r="D2386" s="9" t="s">
        <v>8557</v>
      </c>
      <c r="E2386" s="10" t="str">
        <f>HYPERLINK("https://twitter.com/indpcom/status/1065569311572615168","1065569311572615168")</f>
        <v>1065569311572615168</v>
      </c>
      <c r="F2386" s="11" t="s">
        <v>8558</v>
      </c>
      <c r="G2386" s="12"/>
      <c r="H2386" s="12"/>
      <c r="I2386" s="13">
        <v>83</v>
      </c>
      <c r="J2386" s="13">
        <v>38</v>
      </c>
      <c r="K2386" s="14" t="str">
        <f t="shared" si="386"/>
        <v>Twitter for Android</v>
      </c>
      <c r="L2386" s="13">
        <v>57681</v>
      </c>
      <c r="M2386" s="13">
        <v>1302</v>
      </c>
      <c r="N2386" s="13">
        <v>1097</v>
      </c>
      <c r="O2386" s="16" t="s">
        <v>26</v>
      </c>
      <c r="P2386" s="6">
        <v>42537.702719907407</v>
      </c>
      <c r="Q2386" s="17" t="s">
        <v>141</v>
      </c>
      <c r="R2386" s="18" t="s">
        <v>2569</v>
      </c>
      <c r="S2386" s="11" t="s">
        <v>2570</v>
      </c>
      <c r="T2386" s="12"/>
      <c r="U2386" s="10" t="str">
        <f>HYPERLINK("https://pbs.twimg.com/profile_images/773807977069420544/o4tNI4zQ.jpg","View")</f>
        <v>View</v>
      </c>
    </row>
    <row r="2387" spans="1:21" ht="20.399999999999999">
      <c r="A2387" s="6">
        <v>43426.52416666667</v>
      </c>
      <c r="B2387" s="7" t="str">
        <f>HYPERLINK("https://twitter.com/Lua74830579","@Lua74830579")</f>
        <v>@Lua74830579</v>
      </c>
      <c r="C2387" s="8" t="s">
        <v>8559</v>
      </c>
      <c r="D2387" s="9" t="s">
        <v>8560</v>
      </c>
      <c r="E2387" s="10" t="str">
        <f>HYPERLINK("https://twitter.com/Lua74830579/status/1065569278915739648","1065569278915739648")</f>
        <v>1065569278915739648</v>
      </c>
      <c r="F2387" s="12"/>
      <c r="G2387" s="12"/>
      <c r="H2387" s="12"/>
      <c r="I2387" s="13">
        <v>0</v>
      </c>
      <c r="J2387" s="13">
        <v>0</v>
      </c>
      <c r="K2387" s="14" t="str">
        <f t="shared" si="386"/>
        <v>Twitter for Android</v>
      </c>
      <c r="L2387" s="13">
        <v>106</v>
      </c>
      <c r="M2387" s="13">
        <v>53</v>
      </c>
      <c r="N2387" s="13">
        <v>0</v>
      </c>
      <c r="O2387" s="15"/>
      <c r="P2387" s="6">
        <v>42893.574791666666</v>
      </c>
      <c r="Q2387" s="12"/>
      <c r="R2387" s="18" t="s">
        <v>8561</v>
      </c>
      <c r="S2387" s="12"/>
      <c r="T2387" s="12"/>
      <c r="U2387" s="10" t="str">
        <f>HYPERLINK("https://pbs.twimg.com/profile_images/960172768829558784/19WEe6-b.jpg","View")</f>
        <v>View</v>
      </c>
    </row>
    <row r="2388" spans="1:21" ht="30.6">
      <c r="A2388" s="6">
        <v>43426.523819444439</v>
      </c>
      <c r="B2388" s="7" t="str">
        <f>HYPERLINK("https://twitter.com/LaNacionPy","@LaNacionPy")</f>
        <v>@LaNacionPy</v>
      </c>
      <c r="C2388" s="8" t="s">
        <v>8562</v>
      </c>
      <c r="D2388" s="9" t="s">
        <v>8563</v>
      </c>
      <c r="E2388" s="10" t="str">
        <f>HYPERLINK("https://twitter.com/LaNacionPy/status/1065569156613971968","1065569156613971968")</f>
        <v>1065569156613971968</v>
      </c>
      <c r="F2388" s="11" t="s">
        <v>8564</v>
      </c>
      <c r="G2388" s="12"/>
      <c r="H2388" s="12"/>
      <c r="I2388" s="13">
        <v>1</v>
      </c>
      <c r="J2388" s="13">
        <v>2</v>
      </c>
      <c r="K2388" s="14" t="str">
        <f>HYPERLINK("https://about.twitter.com/products/tweetdeck","TweetDeck")</f>
        <v>TweetDeck</v>
      </c>
      <c r="L2388" s="13">
        <v>209044</v>
      </c>
      <c r="M2388" s="13">
        <v>356</v>
      </c>
      <c r="N2388" s="13">
        <v>703</v>
      </c>
      <c r="O2388" s="16" t="s">
        <v>26</v>
      </c>
      <c r="P2388" s="6">
        <v>40372.890370370369</v>
      </c>
      <c r="Q2388" s="17" t="s">
        <v>8565</v>
      </c>
      <c r="R2388" s="18" t="s">
        <v>8566</v>
      </c>
      <c r="S2388" s="11" t="s">
        <v>8567</v>
      </c>
      <c r="T2388" s="12"/>
      <c r="U2388" s="10" t="str">
        <f>HYPERLINK("https://pbs.twimg.com/profile_images/1057974864403931136/97gFIlAu.jpg","View")</f>
        <v>View</v>
      </c>
    </row>
    <row r="2389" spans="1:21" ht="40.799999999999997">
      <c r="A2389" s="6">
        <v>43426.523819444439</v>
      </c>
      <c r="B2389" s="7" t="str">
        <f>HYPERLINK("https://twitter.com/PilarVaqueroV","@PilarVaqueroV")</f>
        <v>@PilarVaqueroV</v>
      </c>
      <c r="C2389" s="8" t="s">
        <v>8568</v>
      </c>
      <c r="D2389" s="9" t="s">
        <v>8569</v>
      </c>
      <c r="E2389" s="10" t="str">
        <f>HYPERLINK("https://twitter.com/PilarVaqueroV/status/1065569156077113345","1065569156077113345")</f>
        <v>1065569156077113345</v>
      </c>
      <c r="F2389" s="11" t="s">
        <v>1776</v>
      </c>
      <c r="G2389" s="12"/>
      <c r="H2389" s="12"/>
      <c r="I2389" s="13">
        <v>4</v>
      </c>
      <c r="J2389" s="13">
        <v>3</v>
      </c>
      <c r="K2389" s="14" t="str">
        <f>HYPERLINK("http://twitter.com/download/android","Twitter for Android")</f>
        <v>Twitter for Android</v>
      </c>
      <c r="L2389" s="13">
        <v>905</v>
      </c>
      <c r="M2389" s="13">
        <v>1564</v>
      </c>
      <c r="N2389" s="13">
        <v>28</v>
      </c>
      <c r="O2389" s="15"/>
      <c r="P2389" s="6">
        <v>41112.974004629628</v>
      </c>
      <c r="Q2389" s="17" t="s">
        <v>8570</v>
      </c>
      <c r="R2389" s="18" t="s">
        <v>8571</v>
      </c>
      <c r="S2389" s="12"/>
      <c r="T2389" s="12"/>
      <c r="U2389" s="10" t="str">
        <f>HYPERLINK("https://pbs.twimg.com/profile_images/1034881755029954561/wTz3qIvh.jpg","View")</f>
        <v>View</v>
      </c>
    </row>
    <row r="2390" spans="1:21" ht="40.799999999999997">
      <c r="A2390" s="6">
        <v>43426.523194444446</v>
      </c>
      <c r="B2390" s="7" t="str">
        <f>HYPERLINK("https://twitter.com/JesusOrtegaE","@JesusOrtegaE")</f>
        <v>@JesusOrtegaE</v>
      </c>
      <c r="C2390" s="8" t="s">
        <v>8572</v>
      </c>
      <c r="D2390" s="9" t="s">
        <v>8573</v>
      </c>
      <c r="E2390" s="10" t="str">
        <f>HYPERLINK("https://twitter.com/JesusOrtegaE/status/1065568929014272000","1065568929014272000")</f>
        <v>1065568929014272000</v>
      </c>
      <c r="F2390" s="11" t="s">
        <v>8574</v>
      </c>
      <c r="G2390" s="11" t="s">
        <v>8575</v>
      </c>
      <c r="H2390" s="12"/>
      <c r="I2390" s="13">
        <v>7</v>
      </c>
      <c r="J2390" s="13">
        <v>2</v>
      </c>
      <c r="K2390" s="14" t="str">
        <f>HYPERLINK("http://twitter.com","Twitter Web Client")</f>
        <v>Twitter Web Client</v>
      </c>
      <c r="L2390" s="13">
        <v>1013</v>
      </c>
      <c r="M2390" s="13">
        <v>907</v>
      </c>
      <c r="N2390" s="13">
        <v>49</v>
      </c>
      <c r="O2390" s="15"/>
      <c r="P2390" s="6">
        <v>40294.814687500002</v>
      </c>
      <c r="Q2390" s="12"/>
      <c r="R2390" s="18" t="s">
        <v>8576</v>
      </c>
      <c r="S2390" s="12"/>
      <c r="T2390" s="12"/>
      <c r="U2390" s="10" t="str">
        <f>HYPERLINK("https://pbs.twimg.com/profile_images/686624690882895872/zGQ0_CVq.jpg","View")</f>
        <v>View</v>
      </c>
    </row>
    <row r="2391" spans="1:21" ht="20.399999999999999">
      <c r="A2391" s="6">
        <v>43426.522824074069</v>
      </c>
      <c r="B2391" s="7" t="str">
        <f>HYPERLINK("https://twitter.com/laura19655","@laura19655")</f>
        <v>@laura19655</v>
      </c>
      <c r="C2391" s="8" t="s">
        <v>8577</v>
      </c>
      <c r="D2391" s="9" t="s">
        <v>7531</v>
      </c>
      <c r="E2391" s="10" t="str">
        <f>HYPERLINK("https://twitter.com/laura19655/status/1065568792124760065","1065568792124760065")</f>
        <v>1065568792124760065</v>
      </c>
      <c r="F2391" s="11" t="s">
        <v>8578</v>
      </c>
      <c r="G2391" s="12"/>
      <c r="H2391" s="12"/>
      <c r="I2391" s="13">
        <v>0</v>
      </c>
      <c r="J2391" s="13">
        <v>0</v>
      </c>
      <c r="K2391" s="14" t="str">
        <f>HYPERLINK("http://www.facebook.com/twitter","Facebook")</f>
        <v>Facebook</v>
      </c>
      <c r="L2391" s="13">
        <v>160</v>
      </c>
      <c r="M2391" s="13">
        <v>1718</v>
      </c>
      <c r="N2391" s="13">
        <v>0</v>
      </c>
      <c r="O2391" s="15"/>
      <c r="P2391" s="6">
        <v>40586.863738425927</v>
      </c>
      <c r="Q2391" s="17" t="s">
        <v>8579</v>
      </c>
      <c r="R2391" s="19"/>
      <c r="S2391" s="12"/>
      <c r="T2391" s="12"/>
      <c r="U2391" s="10" t="str">
        <f>HYPERLINK("https://pbs.twimg.com/profile_images/540472972172328960/KbeJQG4-.jpeg","View")</f>
        <v>View</v>
      </c>
    </row>
    <row r="2392" spans="1:21" ht="40.799999999999997">
      <c r="A2392" s="6">
        <v>43426.521423611106</v>
      </c>
      <c r="B2392" s="7" t="str">
        <f>HYPERLINK("https://twitter.com/Asturgalicia","@Asturgalicia")</f>
        <v>@Asturgalicia</v>
      </c>
      <c r="C2392" s="8" t="s">
        <v>2591</v>
      </c>
      <c r="D2392" s="9" t="s">
        <v>8580</v>
      </c>
      <c r="E2392" s="10" t="str">
        <f>HYPERLINK("https://twitter.com/Asturgalicia/status/1065568286681808897","1065568286681808897")</f>
        <v>1065568286681808897</v>
      </c>
      <c r="F2392" s="11" t="s">
        <v>8581</v>
      </c>
      <c r="G2392" s="12"/>
      <c r="H2392" s="12"/>
      <c r="I2392" s="13">
        <v>0</v>
      </c>
      <c r="J2392" s="13">
        <v>0</v>
      </c>
      <c r="K2392" s="14" t="str">
        <f>HYPERLINK("http://twitter.com","Twitter Web Client")</f>
        <v>Twitter Web Client</v>
      </c>
      <c r="L2392" s="13">
        <v>2747</v>
      </c>
      <c r="M2392" s="13">
        <v>4662</v>
      </c>
      <c r="N2392" s="13">
        <v>89</v>
      </c>
      <c r="O2392" s="15"/>
      <c r="P2392" s="6">
        <v>40440.741099537037</v>
      </c>
      <c r="Q2392" s="17" t="s">
        <v>2592</v>
      </c>
      <c r="R2392" s="18" t="s">
        <v>2593</v>
      </c>
      <c r="S2392" s="11" t="s">
        <v>2594</v>
      </c>
      <c r="T2392" s="12"/>
      <c r="U2392" s="10" t="str">
        <f>HYPERLINK("https://pbs.twimg.com/profile_images/953015380192256000/9NLeu28m.jpg","View")</f>
        <v>View</v>
      </c>
    </row>
    <row r="2393" spans="1:21" ht="40.799999999999997">
      <c r="A2393" s="6">
        <v>43426.520729166667</v>
      </c>
      <c r="B2393" s="7" t="str">
        <f>HYPERLINK("https://twitter.com/zoskito","@zoskito")</f>
        <v>@zoskito</v>
      </c>
      <c r="C2393" s="8" t="s">
        <v>1993</v>
      </c>
      <c r="D2393" s="9" t="s">
        <v>8582</v>
      </c>
      <c r="E2393" s="10" t="str">
        <f>HYPERLINK("https://twitter.com/zoskito/status/1065568034763489280","1065568034763489280")</f>
        <v>1065568034763489280</v>
      </c>
      <c r="F2393" s="11" t="s">
        <v>5755</v>
      </c>
      <c r="G2393" s="12"/>
      <c r="H2393" s="12"/>
      <c r="I2393" s="13">
        <v>0</v>
      </c>
      <c r="J2393" s="13">
        <v>0</v>
      </c>
      <c r="K2393" s="14" t="str">
        <f t="shared" ref="K2393:K2394" si="387">HYPERLINK("http://twitter.com/download/android","Twitter for Android")</f>
        <v>Twitter for Android</v>
      </c>
      <c r="L2393" s="13">
        <v>4185</v>
      </c>
      <c r="M2393" s="13">
        <v>3553</v>
      </c>
      <c r="N2393" s="13">
        <v>68</v>
      </c>
      <c r="O2393" s="15"/>
      <c r="P2393" s="6">
        <v>40738.472291666665</v>
      </c>
      <c r="Q2393" s="17" t="s">
        <v>72</v>
      </c>
      <c r="R2393" s="18" t="s">
        <v>1996</v>
      </c>
      <c r="S2393" s="11" t="s">
        <v>1997</v>
      </c>
      <c r="T2393" s="12"/>
      <c r="U2393" s="10" t="str">
        <f>HYPERLINK("https://pbs.twimg.com/profile_images/890217976607244292/8-rrhduX.jpg","View")</f>
        <v>View</v>
      </c>
    </row>
    <row r="2394" spans="1:21" ht="13.2">
      <c r="A2394" s="6">
        <v>43426.520590277782</v>
      </c>
      <c r="B2394" s="7" t="str">
        <f>HYPERLINK("https://twitter.com/amaynar","@amaynar")</f>
        <v>@amaynar</v>
      </c>
      <c r="C2394" s="8" t="s">
        <v>8583</v>
      </c>
      <c r="D2394" s="9" t="s">
        <v>8584</v>
      </c>
      <c r="E2394" s="10" t="str">
        <f>HYPERLINK("https://twitter.com/amaynar/status/1065567984050192384","1065567984050192384")</f>
        <v>1065567984050192384</v>
      </c>
      <c r="F2394" s="11" t="s">
        <v>8585</v>
      </c>
      <c r="G2394" s="12"/>
      <c r="H2394" s="12"/>
      <c r="I2394" s="13">
        <v>0</v>
      </c>
      <c r="J2394" s="13">
        <v>0</v>
      </c>
      <c r="K2394" s="14" t="str">
        <f t="shared" si="387"/>
        <v>Twitter for Android</v>
      </c>
      <c r="L2394" s="13">
        <v>318</v>
      </c>
      <c r="M2394" s="13">
        <v>305</v>
      </c>
      <c r="N2394" s="13">
        <v>4</v>
      </c>
      <c r="O2394" s="15"/>
      <c r="P2394" s="6">
        <v>40223.428587962961</v>
      </c>
      <c r="Q2394" s="12"/>
      <c r="R2394" s="19"/>
      <c r="S2394" s="12"/>
      <c r="T2394" s="12"/>
      <c r="U2394" s="10" t="str">
        <f>HYPERLINK("https://pbs.twimg.com/profile_images/1053735601139257349/H8jFJp08.jpg","View")</f>
        <v>View</v>
      </c>
    </row>
    <row r="2395" spans="1:21" ht="20.399999999999999">
      <c r="A2395" s="6">
        <v>43426.519537037035</v>
      </c>
      <c r="B2395" s="7" t="str">
        <f>HYPERLINK("https://twitter.com/eternoperico","@eternoperico")</f>
        <v>@eternoperico</v>
      </c>
      <c r="C2395" s="8" t="s">
        <v>8586</v>
      </c>
      <c r="D2395" s="9" t="s">
        <v>8587</v>
      </c>
      <c r="E2395" s="10" t="str">
        <f>HYPERLINK("https://twitter.com/eternoperico/status/1065567602561429505","1065567602561429505")</f>
        <v>1065567602561429505</v>
      </c>
      <c r="F2395" s="12"/>
      <c r="G2395" s="12"/>
      <c r="H2395" s="12"/>
      <c r="I2395" s="13">
        <v>0</v>
      </c>
      <c r="J2395" s="13">
        <v>0</v>
      </c>
      <c r="K2395" s="14" t="str">
        <f>HYPERLINK("http://twitter.com/download/iphone","Twitter for iPhone")</f>
        <v>Twitter for iPhone</v>
      </c>
      <c r="L2395" s="13">
        <v>312</v>
      </c>
      <c r="M2395" s="13">
        <v>540</v>
      </c>
      <c r="N2395" s="13">
        <v>2</v>
      </c>
      <c r="O2395" s="15"/>
      <c r="P2395" s="6">
        <v>41312.733599537038</v>
      </c>
      <c r="Q2395" s="17" t="s">
        <v>2338</v>
      </c>
      <c r="R2395" s="18" t="s">
        <v>8588</v>
      </c>
      <c r="S2395" s="12"/>
      <c r="T2395" s="12"/>
      <c r="U2395" s="10" t="str">
        <f>HYPERLINK("https://pbs.twimg.com/profile_images/1040906930523398145/ldHk2fMO.jpg","View")</f>
        <v>View</v>
      </c>
    </row>
    <row r="2396" spans="1:21" ht="30.6">
      <c r="A2396" s="6">
        <v>43426.519467592589</v>
      </c>
      <c r="B2396" s="7" t="str">
        <f>HYPERLINK("https://twitter.com/Jaumestre","@Jaumestre")</f>
        <v>@Jaumestre</v>
      </c>
      <c r="C2396" s="8" t="s">
        <v>8589</v>
      </c>
      <c r="D2396" s="9" t="s">
        <v>8590</v>
      </c>
      <c r="E2396" s="10" t="str">
        <f>HYPERLINK("https://twitter.com/Jaumestre/status/1065567576875560960","1065567576875560960")</f>
        <v>1065567576875560960</v>
      </c>
      <c r="F2396" s="12"/>
      <c r="G2396" s="12"/>
      <c r="H2396" s="12"/>
      <c r="I2396" s="13">
        <v>0</v>
      </c>
      <c r="J2396" s="13">
        <v>0</v>
      </c>
      <c r="K2396" s="14" t="str">
        <f>HYPERLINK("http://twitter.com/download/android","Twitter for Android")</f>
        <v>Twitter for Android</v>
      </c>
      <c r="L2396" s="13">
        <v>67</v>
      </c>
      <c r="M2396" s="13">
        <v>122</v>
      </c>
      <c r="N2396" s="13">
        <v>0</v>
      </c>
      <c r="O2396" s="15"/>
      <c r="P2396" s="6">
        <v>42615.683715277773</v>
      </c>
      <c r="Q2396" s="12"/>
      <c r="R2396" s="18" t="s">
        <v>8591</v>
      </c>
      <c r="S2396" s="12"/>
      <c r="T2396" s="12"/>
      <c r="U2396" s="10" t="str">
        <f>HYPERLINK("https://pbs.twimg.com/profile_images/771724879485931520/9sJuAFby.jpg","View")</f>
        <v>View</v>
      </c>
    </row>
    <row r="2397" spans="1:21" ht="51">
      <c r="A2397" s="6">
        <v>43426.518842592588</v>
      </c>
      <c r="B2397" s="7" t="str">
        <f>HYPERLINK("https://twitter.com/Alberbel","@Alberbel")</f>
        <v>@Alberbel</v>
      </c>
      <c r="C2397" s="8" t="s">
        <v>8592</v>
      </c>
      <c r="D2397" s="9" t="s">
        <v>8593</v>
      </c>
      <c r="E2397" s="10" t="str">
        <f>HYPERLINK("https://twitter.com/Alberbel/status/1065567351310045184","1065567351310045184")</f>
        <v>1065567351310045184</v>
      </c>
      <c r="F2397" s="12"/>
      <c r="G2397" s="12"/>
      <c r="H2397" s="12"/>
      <c r="I2397" s="13">
        <v>3</v>
      </c>
      <c r="J2397" s="13">
        <v>3</v>
      </c>
      <c r="K2397" s="14" t="str">
        <f>HYPERLINK("https://mobile.twitter.com","Twitter Lite")</f>
        <v>Twitter Lite</v>
      </c>
      <c r="L2397" s="13">
        <v>8673</v>
      </c>
      <c r="M2397" s="13">
        <v>278</v>
      </c>
      <c r="N2397" s="13">
        <v>222</v>
      </c>
      <c r="O2397" s="15"/>
      <c r="P2397" s="6">
        <v>40480.853425925925</v>
      </c>
      <c r="Q2397" s="17" t="s">
        <v>192</v>
      </c>
      <c r="R2397" s="18" t="s">
        <v>8594</v>
      </c>
      <c r="S2397" s="12"/>
      <c r="T2397" s="12"/>
      <c r="U2397" s="10" t="str">
        <f>HYPERLINK("https://pbs.twimg.com/profile_images/540847049155936258/-x7y5xtM.jpeg","View")</f>
        <v>View</v>
      </c>
    </row>
    <row r="2398" spans="1:21" ht="20.399999999999999">
      <c r="A2398" s="6">
        <v>43426.518194444448</v>
      </c>
      <c r="B2398" s="7" t="str">
        <f>HYPERLINK("https://twitter.com/RosaRosavieji1","@RosaRosavieji1")</f>
        <v>@RosaRosavieji1</v>
      </c>
      <c r="C2398" s="8" t="s">
        <v>8595</v>
      </c>
      <c r="D2398" s="9" t="s">
        <v>1775</v>
      </c>
      <c r="E2398" s="10" t="str">
        <f>HYPERLINK("https://twitter.com/RosaRosavieji1/status/1065567116315762690","1065567116315762690")</f>
        <v>1065567116315762690</v>
      </c>
      <c r="F2398" s="11" t="s">
        <v>1776</v>
      </c>
      <c r="G2398" s="12"/>
      <c r="H2398" s="12"/>
      <c r="I2398" s="13">
        <v>2</v>
      </c>
      <c r="J2398" s="13">
        <v>2</v>
      </c>
      <c r="K2398" s="14" t="str">
        <f>HYPERLINK("http://twitter.com/download/android","Twitter for Android")</f>
        <v>Twitter for Android</v>
      </c>
      <c r="L2398" s="13">
        <v>2702</v>
      </c>
      <c r="M2398" s="13">
        <v>2858</v>
      </c>
      <c r="N2398" s="13">
        <v>138</v>
      </c>
      <c r="O2398" s="15"/>
      <c r="P2398" s="6">
        <v>42043.986851851849</v>
      </c>
      <c r="Q2398" s="12"/>
      <c r="R2398" s="18" t="s">
        <v>8596</v>
      </c>
      <c r="S2398" s="12"/>
      <c r="T2398" s="12"/>
      <c r="U2398" s="10" t="str">
        <f>HYPERLINK("https://pbs.twimg.com/profile_images/565548930206027776/3EudG_tT.jpeg","View")</f>
        <v>View</v>
      </c>
    </row>
    <row r="2399" spans="1:21" ht="13.2">
      <c r="A2399" s="6">
        <v>43426.517997685187</v>
      </c>
      <c r="B2399" s="7" t="str">
        <f>HYPERLINK("https://twitter.com/Arturitosss","@Arturitosss")</f>
        <v>@Arturitosss</v>
      </c>
      <c r="C2399" s="8" t="s">
        <v>6220</v>
      </c>
      <c r="D2399" s="9" t="s">
        <v>8597</v>
      </c>
      <c r="E2399" s="10" t="str">
        <f>HYPERLINK("https://twitter.com/Arturitosss/status/1065567044651966464","1065567044651966464")</f>
        <v>1065567044651966464</v>
      </c>
      <c r="F2399" s="11" t="s">
        <v>8598</v>
      </c>
      <c r="G2399" s="12"/>
      <c r="H2399" s="12"/>
      <c r="I2399" s="13">
        <v>0</v>
      </c>
      <c r="J2399" s="13">
        <v>0</v>
      </c>
      <c r="K2399" s="14" t="str">
        <f>HYPERLINK("http://twitter.com","Twitter Web Client")</f>
        <v>Twitter Web Client</v>
      </c>
      <c r="L2399" s="13">
        <v>182</v>
      </c>
      <c r="M2399" s="13">
        <v>265</v>
      </c>
      <c r="N2399" s="13">
        <v>55</v>
      </c>
      <c r="O2399" s="15"/>
      <c r="P2399" s="6">
        <v>40803.946620370371</v>
      </c>
      <c r="Q2399" s="17" t="s">
        <v>6223</v>
      </c>
      <c r="R2399" s="18" t="s">
        <v>6224</v>
      </c>
      <c r="S2399" s="12"/>
      <c r="T2399" s="12"/>
      <c r="U2399" s="10" t="str">
        <f>HYPERLINK("https://pbs.twimg.com/profile_images/2569497955/9bcndf9z02752bh9ia7m.jpeg","View")</f>
        <v>View</v>
      </c>
    </row>
    <row r="2400" spans="1:21" ht="40.799999999999997">
      <c r="A2400" s="6">
        <v>43426.517511574071</v>
      </c>
      <c r="B2400" s="7" t="str">
        <f>HYPERLINK("https://twitter.com/Zibelinam","@Zibelinam")</f>
        <v>@Zibelinam</v>
      </c>
      <c r="C2400" s="8" t="s">
        <v>42</v>
      </c>
      <c r="D2400" s="9" t="s">
        <v>8599</v>
      </c>
      <c r="E2400" s="10" t="str">
        <f>HYPERLINK("https://twitter.com/Zibelinam/status/1065566867861966849","1065566867861966849")</f>
        <v>1065566867861966849</v>
      </c>
      <c r="F2400" s="17" t="s">
        <v>8600</v>
      </c>
      <c r="G2400" s="12"/>
      <c r="H2400" s="12"/>
      <c r="I2400" s="13">
        <v>0</v>
      </c>
      <c r="J2400" s="13">
        <v>0</v>
      </c>
      <c r="K2400" s="14" t="str">
        <f>HYPERLINK("http://twitter.com/download/iphone","Twitter for iPhone")</f>
        <v>Twitter for iPhone</v>
      </c>
      <c r="L2400" s="13">
        <v>4089</v>
      </c>
      <c r="M2400" s="13">
        <v>4008</v>
      </c>
      <c r="N2400" s="13">
        <v>19</v>
      </c>
      <c r="O2400" s="15"/>
      <c r="P2400" s="6">
        <v>41405.65353009259</v>
      </c>
      <c r="Q2400" s="17" t="s">
        <v>47</v>
      </c>
      <c r="R2400" s="18" t="s">
        <v>48</v>
      </c>
      <c r="S2400" s="12"/>
      <c r="T2400" s="12"/>
      <c r="U2400" s="10" t="str">
        <f>HYPERLINK("https://pbs.twimg.com/profile_images/929426502416027649/07tvgMQf.jpg","View")</f>
        <v>View</v>
      </c>
    </row>
    <row r="2401" spans="1:21" ht="30.6">
      <c r="A2401" s="6">
        <v>43426.516724537039</v>
      </c>
      <c r="B2401" s="7" t="str">
        <f>HYPERLINK("https://twitter.com/Jaumestre","@Jaumestre")</f>
        <v>@Jaumestre</v>
      </c>
      <c r="C2401" s="8" t="s">
        <v>8589</v>
      </c>
      <c r="D2401" s="9" t="s">
        <v>8601</v>
      </c>
      <c r="E2401" s="10" t="str">
        <f>HYPERLINK("https://twitter.com/Jaumestre/status/1065566584884928512","1065566584884928512")</f>
        <v>1065566584884928512</v>
      </c>
      <c r="F2401" s="12"/>
      <c r="G2401" s="12"/>
      <c r="H2401" s="12"/>
      <c r="I2401" s="13">
        <v>0</v>
      </c>
      <c r="J2401" s="13">
        <v>0</v>
      </c>
      <c r="K2401" s="14" t="str">
        <f>HYPERLINK("http://twitter.com/download/android","Twitter for Android")</f>
        <v>Twitter for Android</v>
      </c>
      <c r="L2401" s="13">
        <v>67</v>
      </c>
      <c r="M2401" s="13">
        <v>122</v>
      </c>
      <c r="N2401" s="13">
        <v>0</v>
      </c>
      <c r="O2401" s="15"/>
      <c r="P2401" s="6">
        <v>42615.683715277773</v>
      </c>
      <c r="Q2401" s="12"/>
      <c r="R2401" s="18" t="s">
        <v>8591</v>
      </c>
      <c r="S2401" s="12"/>
      <c r="T2401" s="12"/>
      <c r="U2401" s="10" t="str">
        <f>HYPERLINK("https://pbs.twimg.com/profile_images/771724879485931520/9sJuAFby.jpg","View")</f>
        <v>View</v>
      </c>
    </row>
    <row r="2402" spans="1:21" ht="40.799999999999997">
      <c r="A2402" s="6">
        <v>43426.51635416667</v>
      </c>
      <c r="B2402" s="7" t="str">
        <f>HYPERLINK("https://twitter.com/Zibelinam","@Zibelinam")</f>
        <v>@Zibelinam</v>
      </c>
      <c r="C2402" s="8" t="s">
        <v>42</v>
      </c>
      <c r="D2402" s="9" t="s">
        <v>8479</v>
      </c>
      <c r="E2402" s="10" t="str">
        <f>HYPERLINK("https://twitter.com/Zibelinam/status/1065566451124310016","1065566451124310016")</f>
        <v>1065566451124310016</v>
      </c>
      <c r="F2402" s="11" t="s">
        <v>7252</v>
      </c>
      <c r="G2402" s="12"/>
      <c r="H2402" s="12"/>
      <c r="I2402" s="13">
        <v>0</v>
      </c>
      <c r="J2402" s="13">
        <v>0</v>
      </c>
      <c r="K2402" s="14" t="str">
        <f>HYPERLINK("http://twitter.com/download/iphone","Twitter for iPhone")</f>
        <v>Twitter for iPhone</v>
      </c>
      <c r="L2402" s="13">
        <v>4089</v>
      </c>
      <c r="M2402" s="13">
        <v>4008</v>
      </c>
      <c r="N2402" s="13">
        <v>19</v>
      </c>
      <c r="O2402" s="15"/>
      <c r="P2402" s="6">
        <v>41405.65353009259</v>
      </c>
      <c r="Q2402" s="17" t="s">
        <v>47</v>
      </c>
      <c r="R2402" s="18" t="s">
        <v>48</v>
      </c>
      <c r="S2402" s="12"/>
      <c r="T2402" s="12"/>
      <c r="U2402" s="10" t="str">
        <f>HYPERLINK("https://pbs.twimg.com/profile_images/929426502416027649/07tvgMQf.jpg","View")</f>
        <v>View</v>
      </c>
    </row>
    <row r="2403" spans="1:21" ht="20.399999999999999">
      <c r="A2403" s="6">
        <v>43426.516145833331</v>
      </c>
      <c r="B2403" s="7" t="str">
        <f>HYPERLINK("https://twitter.com/GolpeTocuyano","@GolpeTocuyano")</f>
        <v>@GolpeTocuyano</v>
      </c>
      <c r="C2403" s="8" t="s">
        <v>800</v>
      </c>
      <c r="D2403" s="9" t="s">
        <v>8602</v>
      </c>
      <c r="E2403" s="10" t="str">
        <f>HYPERLINK("https://twitter.com/GolpeTocuyano/status/1065566372997054464","1065566372997054464")</f>
        <v>1065566372997054464</v>
      </c>
      <c r="F2403" s="11" t="s">
        <v>8603</v>
      </c>
      <c r="G2403" s="11" t="s">
        <v>8604</v>
      </c>
      <c r="H2403" s="12"/>
      <c r="I2403" s="13">
        <v>0</v>
      </c>
      <c r="J2403" s="13">
        <v>0</v>
      </c>
      <c r="K2403" s="14" t="str">
        <f>HYPERLINK("https://ifttt.com","IFTTT")</f>
        <v>IFTTT</v>
      </c>
      <c r="L2403" s="13">
        <v>916</v>
      </c>
      <c r="M2403" s="13">
        <v>58</v>
      </c>
      <c r="N2403" s="13">
        <v>0</v>
      </c>
      <c r="O2403" s="15"/>
      <c r="P2403" s="6">
        <v>40818.66951388889</v>
      </c>
      <c r="Q2403" s="12"/>
      <c r="R2403" s="19"/>
      <c r="S2403" s="12"/>
      <c r="T2403" s="12"/>
      <c r="U2403" s="10" t="str">
        <f>HYPERLINK("https://pbs.twimg.com/profile_images/2263595054/images.jpg","View")</f>
        <v>View</v>
      </c>
    </row>
    <row r="2404" spans="1:21" ht="30.6">
      <c r="A2404" s="6">
        <v>43426.515509259261</v>
      </c>
      <c r="B2404" s="7" t="str">
        <f>HYPERLINK("https://twitter.com/PisalisRosa","@PisalisRosa")</f>
        <v>@PisalisRosa</v>
      </c>
      <c r="C2404" s="8" t="s">
        <v>8605</v>
      </c>
      <c r="D2404" s="9" t="s">
        <v>8606</v>
      </c>
      <c r="E2404" s="10" t="str">
        <f>HYPERLINK("https://twitter.com/PisalisRosa/status/1065566144147394560","1065566144147394560")</f>
        <v>1065566144147394560</v>
      </c>
      <c r="F2404" s="11" t="s">
        <v>8581</v>
      </c>
      <c r="G2404" s="12"/>
      <c r="H2404" s="12"/>
      <c r="I2404" s="13">
        <v>0</v>
      </c>
      <c r="J2404" s="13">
        <v>0</v>
      </c>
      <c r="K2404" s="14" t="str">
        <f>HYPERLINK("http://twitter.com/download/iphone","Twitter for iPhone")</f>
        <v>Twitter for iPhone</v>
      </c>
      <c r="L2404" s="13">
        <v>1453</v>
      </c>
      <c r="M2404" s="13">
        <v>1453</v>
      </c>
      <c r="N2404" s="13">
        <v>27</v>
      </c>
      <c r="O2404" s="15"/>
      <c r="P2404" s="6">
        <v>41469.822233796294</v>
      </c>
      <c r="Q2404" s="17" t="s">
        <v>8607</v>
      </c>
      <c r="R2404" s="18" t="s">
        <v>8608</v>
      </c>
      <c r="S2404" s="12"/>
      <c r="T2404" s="12"/>
      <c r="U2404" s="10" t="str">
        <f>HYPERLINK("https://pbs.twimg.com/profile_images/895950919497633792/PSQBk8KH.jpg","View")</f>
        <v>View</v>
      </c>
    </row>
    <row r="2405" spans="1:21" ht="20.399999999999999">
      <c r="A2405" s="6">
        <v>43426.515069444446</v>
      </c>
      <c r="B2405" s="7" t="str">
        <f>HYPERLINK("https://twitter.com/piramide_5N","@piramide_5N")</f>
        <v>@piramide_5N</v>
      </c>
      <c r="C2405" s="8" t="s">
        <v>8609</v>
      </c>
      <c r="D2405" s="9" t="s">
        <v>8610</v>
      </c>
      <c r="E2405" s="10" t="str">
        <f>HYPERLINK("https://twitter.com/piramide_5N/status/1065565984159920128","1065565984159920128")</f>
        <v>1065565984159920128</v>
      </c>
      <c r="F2405" s="11" t="s">
        <v>8611</v>
      </c>
      <c r="G2405" s="11" t="s">
        <v>8612</v>
      </c>
      <c r="H2405" s="12"/>
      <c r="I2405" s="13">
        <v>0</v>
      </c>
      <c r="J2405" s="13">
        <v>0</v>
      </c>
      <c r="K2405" s="14" t="str">
        <f>HYPERLINK("http://publicize.wp.com/","WordPress.com")</f>
        <v>WordPress.com</v>
      </c>
      <c r="L2405" s="13">
        <v>278</v>
      </c>
      <c r="M2405" s="13">
        <v>401</v>
      </c>
      <c r="N2405" s="13">
        <v>59</v>
      </c>
      <c r="O2405" s="15"/>
      <c r="P2405" s="6">
        <v>42355.157094907408</v>
      </c>
      <c r="Q2405" s="17" t="s">
        <v>104</v>
      </c>
      <c r="R2405" s="18" t="s">
        <v>8613</v>
      </c>
      <c r="S2405" s="11" t="s">
        <v>8614</v>
      </c>
      <c r="T2405" s="12"/>
      <c r="U2405" s="10" t="str">
        <f>HYPERLINK("https://pbs.twimg.com/profile_images/761285977902051328/MO0a740-.jpg","View")</f>
        <v>View</v>
      </c>
    </row>
    <row r="2406" spans="1:21" ht="30.6">
      <c r="A2406" s="6">
        <v>43426.514490740738</v>
      </c>
      <c r="B2406" s="7" t="str">
        <f>HYPERLINK("https://twitter.com/Julianvirome","@Julianvirome")</f>
        <v>@Julianvirome</v>
      </c>
      <c r="C2406" s="8" t="s">
        <v>5114</v>
      </c>
      <c r="D2406" s="9" t="s">
        <v>8615</v>
      </c>
      <c r="E2406" s="10" t="str">
        <f>HYPERLINK("https://twitter.com/Julianvirome/status/1065565773765271552","1065565773765271552")</f>
        <v>1065565773765271552</v>
      </c>
      <c r="F2406" s="12"/>
      <c r="G2406" s="11" t="s">
        <v>8616</v>
      </c>
      <c r="H2406" s="12"/>
      <c r="I2406" s="13">
        <v>0</v>
      </c>
      <c r="J2406" s="13">
        <v>0</v>
      </c>
      <c r="K2406" s="14" t="str">
        <f>HYPERLINK("http://twitter.com/download/android","Twitter for Android")</f>
        <v>Twitter for Android</v>
      </c>
      <c r="L2406" s="13">
        <v>2634</v>
      </c>
      <c r="M2406" s="13">
        <v>4992</v>
      </c>
      <c r="N2406" s="13">
        <v>23</v>
      </c>
      <c r="O2406" s="15"/>
      <c r="P2406" s="6">
        <v>40630.875810185185</v>
      </c>
      <c r="Q2406" s="17" t="s">
        <v>72</v>
      </c>
      <c r="R2406" s="18" t="s">
        <v>5116</v>
      </c>
      <c r="S2406" s="12"/>
      <c r="T2406" s="12"/>
      <c r="U2406" s="10" t="str">
        <f>HYPERLINK("https://pbs.twimg.com/profile_images/1015475281803530241/aBROVKXy.jpg","View")</f>
        <v>View</v>
      </c>
    </row>
    <row r="2407" spans="1:21" ht="51">
      <c r="A2407" s="6">
        <v>43426.514351851853</v>
      </c>
      <c r="B2407" s="7" t="str">
        <f>HYPERLINK("https://twitter.com/gvalles2","@gvalles2")</f>
        <v>@gvalles2</v>
      </c>
      <c r="C2407" s="8" t="s">
        <v>8617</v>
      </c>
      <c r="D2407" s="9" t="s">
        <v>8618</v>
      </c>
      <c r="E2407" s="10" t="str">
        <f>HYPERLINK("https://twitter.com/gvalles2/status/1065565724985475072","1065565724985475072")</f>
        <v>1065565724985475072</v>
      </c>
      <c r="F2407" s="12"/>
      <c r="G2407" s="12"/>
      <c r="H2407" s="12"/>
      <c r="I2407" s="13">
        <v>0</v>
      </c>
      <c r="J2407" s="13">
        <v>0</v>
      </c>
      <c r="K2407" s="14" t="str">
        <f>HYPERLINK("https://mobile.twitter.com","Mobile Web (M2)")</f>
        <v>Mobile Web (M2)</v>
      </c>
      <c r="L2407" s="13">
        <v>1408</v>
      </c>
      <c r="M2407" s="13">
        <v>1360</v>
      </c>
      <c r="N2407" s="13">
        <v>8</v>
      </c>
      <c r="O2407" s="15"/>
      <c r="P2407" s="6">
        <v>41451.979039351849</v>
      </c>
      <c r="Q2407" s="17" t="s">
        <v>8619</v>
      </c>
      <c r="R2407" s="18" t="s">
        <v>8620</v>
      </c>
      <c r="S2407" s="12"/>
      <c r="T2407" s="12"/>
      <c r="U2407" s="10" t="str">
        <f>HYPERLINK("https://pbs.twimg.com/profile_images/786009061145927680/jcPxfEte.jpg","View")</f>
        <v>View</v>
      </c>
    </row>
    <row r="2408" spans="1:21" ht="20.399999999999999">
      <c r="A2408" s="6">
        <v>43426.51427083333</v>
      </c>
      <c r="B2408" s="7" t="str">
        <f>HYPERLINK("https://twitter.com/jamilkar","@jamilkar")</f>
        <v>@jamilkar</v>
      </c>
      <c r="C2408" s="8" t="s">
        <v>8621</v>
      </c>
      <c r="D2408" s="9" t="s">
        <v>5172</v>
      </c>
      <c r="E2408" s="10" t="str">
        <f>HYPERLINK("https://twitter.com/jamilkar/status/1065565694656479232","1065565694656479232")</f>
        <v>1065565694656479232</v>
      </c>
      <c r="F2408" s="11" t="s">
        <v>8622</v>
      </c>
      <c r="G2408" s="12"/>
      <c r="H2408" s="12"/>
      <c r="I2408" s="13">
        <v>0</v>
      </c>
      <c r="J2408" s="13">
        <v>0</v>
      </c>
      <c r="K2408" s="14" t="str">
        <f>HYPERLINK("http://twitter.com/download/iphone","Twitter for iPhone")</f>
        <v>Twitter for iPhone</v>
      </c>
      <c r="L2408" s="13">
        <v>163</v>
      </c>
      <c r="M2408" s="13">
        <v>661</v>
      </c>
      <c r="N2408" s="13">
        <v>8</v>
      </c>
      <c r="O2408" s="15"/>
      <c r="P2408" s="6">
        <v>39912.648981481485</v>
      </c>
      <c r="Q2408" s="12"/>
      <c r="R2408" s="19"/>
      <c r="S2408" s="12"/>
      <c r="T2408" s="12"/>
      <c r="U2408" s="10" t="str">
        <f>HYPERLINK("https://pbs.twimg.com/profile_images/827107694221750272/lV14WfeG.jpg","View")</f>
        <v>View</v>
      </c>
    </row>
    <row r="2409" spans="1:21" ht="20.399999999999999">
      <c r="A2409" s="6">
        <v>43426.514074074075</v>
      </c>
      <c r="B2409" s="7" t="str">
        <f>HYPERLINK("https://twitter.com/GNR90","@GNR90")</f>
        <v>@GNR90</v>
      </c>
      <c r="C2409" s="8" t="s">
        <v>8623</v>
      </c>
      <c r="D2409" s="9" t="s">
        <v>1143</v>
      </c>
      <c r="E2409" s="10" t="str">
        <f>HYPERLINK("https://twitter.com/GNR90/status/1065565621767847936","1065565621767847936")</f>
        <v>1065565621767847936</v>
      </c>
      <c r="F2409" s="11" t="s">
        <v>8624</v>
      </c>
      <c r="G2409" s="12"/>
      <c r="H2409" s="12"/>
      <c r="I2409" s="13">
        <v>0</v>
      </c>
      <c r="J2409" s="13">
        <v>0</v>
      </c>
      <c r="K2409" s="14" t="str">
        <f>HYPERLINK("http://twitter.com","Twitter Web Client")</f>
        <v>Twitter Web Client</v>
      </c>
      <c r="L2409" s="13">
        <v>208</v>
      </c>
      <c r="M2409" s="13">
        <v>233</v>
      </c>
      <c r="N2409" s="13">
        <v>2</v>
      </c>
      <c r="O2409" s="15"/>
      <c r="P2409" s="6">
        <v>40605.492407407408</v>
      </c>
      <c r="Q2409" s="17" t="s">
        <v>8625</v>
      </c>
      <c r="R2409" s="18" t="s">
        <v>8626</v>
      </c>
      <c r="S2409" s="12"/>
      <c r="T2409" s="12"/>
      <c r="U2409" s="10" t="str">
        <f>HYPERLINK("https://pbs.twimg.com/profile_images/794473506385854464/HitKlVIV.jpg","View")</f>
        <v>View</v>
      </c>
    </row>
    <row r="2410" spans="1:21" ht="20.399999999999999">
      <c r="A2410" s="6">
        <v>43426.513784722221</v>
      </c>
      <c r="B2410" s="7" t="str">
        <f>HYPERLINK("https://twitter.com/periodistadigit","@periodistadigit")</f>
        <v>@periodistadigit</v>
      </c>
      <c r="C2410" s="8" t="s">
        <v>599</v>
      </c>
      <c r="D2410" s="9" t="s">
        <v>8627</v>
      </c>
      <c r="E2410" s="10" t="str">
        <f>HYPERLINK("https://twitter.com/periodistadigit/status/1065565517828771840","1065565517828771840")</f>
        <v>1065565517828771840</v>
      </c>
      <c r="F2410" s="11" t="s">
        <v>8581</v>
      </c>
      <c r="G2410" s="12"/>
      <c r="H2410" s="12"/>
      <c r="I2410" s="13">
        <v>5</v>
      </c>
      <c r="J2410" s="13">
        <v>4</v>
      </c>
      <c r="K2410" s="14" t="str">
        <f>HYPERLINK("https://about.twitter.com/products/tweetdeck","TweetDeck")</f>
        <v>TweetDeck</v>
      </c>
      <c r="L2410" s="13">
        <v>56097</v>
      </c>
      <c r="M2410" s="13">
        <v>3791</v>
      </c>
      <c r="N2410" s="13">
        <v>1469</v>
      </c>
      <c r="O2410" s="16" t="s">
        <v>26</v>
      </c>
      <c r="P2410" s="6">
        <v>40084.916296296295</v>
      </c>
      <c r="Q2410" s="17" t="s">
        <v>72</v>
      </c>
      <c r="R2410" s="18" t="s">
        <v>601</v>
      </c>
      <c r="S2410" s="11" t="s">
        <v>74</v>
      </c>
      <c r="T2410" s="12"/>
      <c r="U2410" s="10" t="str">
        <f>HYPERLINK("https://pbs.twimg.com/profile_images/1913331873/periodista-digital.jpg","View")</f>
        <v>View</v>
      </c>
    </row>
    <row r="2411" spans="1:21" ht="20.399999999999999">
      <c r="A2411" s="6">
        <v>43426.513333333336</v>
      </c>
      <c r="B2411" s="7" t="str">
        <f>HYPERLINK("https://twitter.com/juanfernandodt","@juanfernandodt")</f>
        <v>@juanfernandodt</v>
      </c>
      <c r="C2411" s="8" t="s">
        <v>6518</v>
      </c>
      <c r="D2411" s="9" t="s">
        <v>8628</v>
      </c>
      <c r="E2411" s="10" t="str">
        <f>HYPERLINK("https://twitter.com/juanfernandodt/status/1065565354456465408","1065565354456465408")</f>
        <v>1065565354456465408</v>
      </c>
      <c r="F2411" s="11" t="s">
        <v>8598</v>
      </c>
      <c r="G2411" s="12"/>
      <c r="H2411" s="12"/>
      <c r="I2411" s="13">
        <v>0</v>
      </c>
      <c r="J2411" s="13">
        <v>0</v>
      </c>
      <c r="K2411" s="14" t="str">
        <f t="shared" ref="K2411:K2413" si="388">HYPERLINK("http://twitter.com","Twitter Web Client")</f>
        <v>Twitter Web Client</v>
      </c>
      <c r="L2411" s="13">
        <v>827</v>
      </c>
      <c r="M2411" s="13">
        <v>856</v>
      </c>
      <c r="N2411" s="13">
        <v>69</v>
      </c>
      <c r="O2411" s="15"/>
      <c r="P2411" s="6">
        <v>40262.559571759259</v>
      </c>
      <c r="Q2411" s="17" t="s">
        <v>72</v>
      </c>
      <c r="R2411" s="18" t="s">
        <v>6520</v>
      </c>
      <c r="S2411" s="11" t="s">
        <v>6521</v>
      </c>
      <c r="T2411" s="12"/>
      <c r="U2411" s="10" t="str">
        <f>HYPERLINK("https://pbs.twimg.com/profile_images/994171977337274368/q---p9ij.jpg","View")</f>
        <v>View</v>
      </c>
    </row>
    <row r="2412" spans="1:21" ht="20.399999999999999">
      <c r="A2412" s="6">
        <v>43426.513078703705</v>
      </c>
      <c r="B2412" s="7" t="str">
        <f>HYPERLINK("https://twitter.com/juvini100","@juvini100")</f>
        <v>@juvini100</v>
      </c>
      <c r="C2412" s="8" t="s">
        <v>1661</v>
      </c>
      <c r="D2412" s="9" t="s">
        <v>5335</v>
      </c>
      <c r="E2412" s="10" t="str">
        <f>HYPERLINK("https://twitter.com/juvini100/status/1065565263968575490","1065565263968575490")</f>
        <v>1065565263968575490</v>
      </c>
      <c r="F2412" s="11" t="s">
        <v>4718</v>
      </c>
      <c r="G2412" s="12"/>
      <c r="H2412" s="12"/>
      <c r="I2412" s="13">
        <v>0</v>
      </c>
      <c r="J2412" s="13">
        <v>0</v>
      </c>
      <c r="K2412" s="14" t="str">
        <f t="shared" si="388"/>
        <v>Twitter Web Client</v>
      </c>
      <c r="L2412" s="13">
        <v>1248</v>
      </c>
      <c r="M2412" s="13">
        <v>4270</v>
      </c>
      <c r="N2412" s="13">
        <v>2</v>
      </c>
      <c r="O2412" s="15"/>
      <c r="P2412" s="6">
        <v>41780.474074074074</v>
      </c>
      <c r="Q2412" s="12"/>
      <c r="R2412" s="18" t="s">
        <v>1663</v>
      </c>
      <c r="S2412" s="12"/>
      <c r="T2412" s="12"/>
      <c r="U2412" s="10" t="str">
        <f>HYPERLINK("https://pbs.twimg.com/profile_images/1060850438050856962/28V9mRmA.jpg","View")</f>
        <v>View</v>
      </c>
    </row>
    <row r="2413" spans="1:21" ht="20.399999999999999">
      <c r="A2413" s="6">
        <v>43426.512523148151</v>
      </c>
      <c r="B2413" s="7" t="str">
        <f>HYPERLINK("https://twitter.com/juanfernandodt","@juanfernandodt")</f>
        <v>@juanfernandodt</v>
      </c>
      <c r="C2413" s="8" t="s">
        <v>6518</v>
      </c>
      <c r="D2413" s="9" t="s">
        <v>8629</v>
      </c>
      <c r="E2413" s="10" t="str">
        <f>HYPERLINK("https://twitter.com/juanfernandodt/status/1065565062792953858","1065565062792953858")</f>
        <v>1065565062792953858</v>
      </c>
      <c r="F2413" s="11" t="s">
        <v>8598</v>
      </c>
      <c r="G2413" s="12"/>
      <c r="H2413" s="12"/>
      <c r="I2413" s="13">
        <v>0</v>
      </c>
      <c r="J2413" s="13">
        <v>0</v>
      </c>
      <c r="K2413" s="14" t="str">
        <f t="shared" si="388"/>
        <v>Twitter Web Client</v>
      </c>
      <c r="L2413" s="13">
        <v>827</v>
      </c>
      <c r="M2413" s="13">
        <v>856</v>
      </c>
      <c r="N2413" s="13">
        <v>69</v>
      </c>
      <c r="O2413" s="15"/>
      <c r="P2413" s="6">
        <v>40262.559571759259</v>
      </c>
      <c r="Q2413" s="17" t="s">
        <v>72</v>
      </c>
      <c r="R2413" s="18" t="s">
        <v>6520</v>
      </c>
      <c r="S2413" s="11" t="s">
        <v>6521</v>
      </c>
      <c r="T2413" s="12"/>
      <c r="U2413" s="10" t="str">
        <f>HYPERLINK("https://pbs.twimg.com/profile_images/994171977337274368/q---p9ij.jpg","View")</f>
        <v>View</v>
      </c>
    </row>
    <row r="2414" spans="1:21" ht="30.6">
      <c r="A2414" s="6">
        <v>43426.512106481481</v>
      </c>
      <c r="B2414" s="7" t="str">
        <f>HYPERLINK("https://twitter.com/aurpro1","@aurpro1")</f>
        <v>@aurpro1</v>
      </c>
      <c r="C2414" s="8" t="s">
        <v>8630</v>
      </c>
      <c r="D2414" s="9" t="s">
        <v>2230</v>
      </c>
      <c r="E2414" s="10" t="str">
        <f>HYPERLINK("https://twitter.com/aurpro1/status/1065564908237058048","1065564908237058048")</f>
        <v>1065564908237058048</v>
      </c>
      <c r="F2414" s="11" t="s">
        <v>2231</v>
      </c>
      <c r="G2414" s="12"/>
      <c r="H2414" s="12"/>
      <c r="I2414" s="13">
        <v>0</v>
      </c>
      <c r="J2414" s="13">
        <v>0</v>
      </c>
      <c r="K2414" s="14" t="str">
        <f>HYPERLINK("http://twitter.com/download/android","Twitter for Android")</f>
        <v>Twitter for Android</v>
      </c>
      <c r="L2414" s="13">
        <v>739</v>
      </c>
      <c r="M2414" s="13">
        <v>1508</v>
      </c>
      <c r="N2414" s="13">
        <v>2</v>
      </c>
      <c r="O2414" s="15"/>
      <c r="P2414" s="6">
        <v>40839.870347222226</v>
      </c>
      <c r="Q2414" s="17" t="s">
        <v>28</v>
      </c>
      <c r="R2414" s="18" t="s">
        <v>8631</v>
      </c>
      <c r="S2414" s="12"/>
      <c r="T2414" s="12"/>
      <c r="U2414" s="10" t="str">
        <f>HYPERLINK("https://pbs.twimg.com/profile_images/553641753950314498/PKuvYZOf.jpeg","View")</f>
        <v>View</v>
      </c>
    </row>
    <row r="2415" spans="1:21" ht="20.399999999999999">
      <c r="A2415" s="6">
        <v>43426.512048611112</v>
      </c>
      <c r="B2415" s="7" t="str">
        <f>HYPERLINK("https://twitter.com/juanfernandodt","@juanfernandodt")</f>
        <v>@juanfernandodt</v>
      </c>
      <c r="C2415" s="8" t="s">
        <v>6518</v>
      </c>
      <c r="D2415" s="9" t="s">
        <v>8632</v>
      </c>
      <c r="E2415" s="10" t="str">
        <f>HYPERLINK("https://twitter.com/juanfernandodt/status/1065564889584943104","1065564889584943104")</f>
        <v>1065564889584943104</v>
      </c>
      <c r="F2415" s="11" t="s">
        <v>8598</v>
      </c>
      <c r="G2415" s="12"/>
      <c r="H2415" s="12"/>
      <c r="I2415" s="13">
        <v>0</v>
      </c>
      <c r="J2415" s="13">
        <v>0</v>
      </c>
      <c r="K2415" s="14" t="str">
        <f>HYPERLINK("http://twitter.com","Twitter Web Client")</f>
        <v>Twitter Web Client</v>
      </c>
      <c r="L2415" s="13">
        <v>827</v>
      </c>
      <c r="M2415" s="13">
        <v>856</v>
      </c>
      <c r="N2415" s="13">
        <v>69</v>
      </c>
      <c r="O2415" s="15"/>
      <c r="P2415" s="6">
        <v>40262.559571759259</v>
      </c>
      <c r="Q2415" s="17" t="s">
        <v>72</v>
      </c>
      <c r="R2415" s="18" t="s">
        <v>6520</v>
      </c>
      <c r="S2415" s="11" t="s">
        <v>6521</v>
      </c>
      <c r="T2415" s="12"/>
      <c r="U2415" s="10" t="str">
        <f>HYPERLINK("https://pbs.twimg.com/profile_images/994171977337274368/q---p9ij.jpg","View")</f>
        <v>View</v>
      </c>
    </row>
    <row r="2416" spans="1:21" ht="40.799999999999997">
      <c r="A2416" s="6">
        <v>43426.511701388888</v>
      </c>
      <c r="B2416" s="7" t="str">
        <f>HYPERLINK("https://twitter.com/TomasFTerrados","@TomasFTerrados")</f>
        <v>@TomasFTerrados</v>
      </c>
      <c r="C2416" s="8" t="s">
        <v>8633</v>
      </c>
      <c r="D2416" s="9" t="s">
        <v>8634</v>
      </c>
      <c r="E2416" s="10" t="str">
        <f>HYPERLINK("https://twitter.com/TomasFTerrados/status/1065564763483181056","1065564763483181056")</f>
        <v>1065564763483181056</v>
      </c>
      <c r="F2416" s="12"/>
      <c r="G2416" s="12"/>
      <c r="H2416" s="12"/>
      <c r="I2416" s="13">
        <v>1</v>
      </c>
      <c r="J2416" s="13">
        <v>0</v>
      </c>
      <c r="K2416" s="14" t="str">
        <f t="shared" ref="K2416:K2417" si="389">HYPERLINK("http://twitter.com/download/android","Twitter for Android")</f>
        <v>Twitter for Android</v>
      </c>
      <c r="L2416" s="13">
        <v>4567</v>
      </c>
      <c r="M2416" s="13">
        <v>4560</v>
      </c>
      <c r="N2416" s="13">
        <v>73</v>
      </c>
      <c r="O2416" s="15"/>
      <c r="P2416" s="6">
        <v>40822.523576388892</v>
      </c>
      <c r="Q2416" s="17" t="s">
        <v>8635</v>
      </c>
      <c r="R2416" s="18" t="s">
        <v>8636</v>
      </c>
      <c r="S2416" s="12"/>
      <c r="T2416" s="12"/>
      <c r="U2416" s="10" t="str">
        <f>HYPERLINK("https://pbs.twimg.com/profile_images/378800000551806772/07aba98259821929ac2bccc43572628d.jpeg","View")</f>
        <v>View</v>
      </c>
    </row>
    <row r="2417" spans="1:21" ht="61.2">
      <c r="A2417" s="6">
        <v>43426.511516203704</v>
      </c>
      <c r="B2417" s="7" t="str">
        <f>HYPERLINK("https://twitter.com/JoseLui43872588","@JoseLui43872588")</f>
        <v>@JoseLui43872588</v>
      </c>
      <c r="C2417" s="8" t="s">
        <v>1947</v>
      </c>
      <c r="D2417" s="9" t="s">
        <v>8637</v>
      </c>
      <c r="E2417" s="10" t="str">
        <f>HYPERLINK("https://twitter.com/JoseLui43872588/status/1065564697020243968","1065564697020243968")</f>
        <v>1065564697020243968</v>
      </c>
      <c r="F2417" s="12"/>
      <c r="G2417" s="12"/>
      <c r="H2417" s="12"/>
      <c r="I2417" s="13">
        <v>0</v>
      </c>
      <c r="J2417" s="13">
        <v>0</v>
      </c>
      <c r="K2417" s="14" t="str">
        <f t="shared" si="389"/>
        <v>Twitter for Android</v>
      </c>
      <c r="L2417" s="13">
        <v>512</v>
      </c>
      <c r="M2417" s="13">
        <v>128</v>
      </c>
      <c r="N2417" s="13">
        <v>7</v>
      </c>
      <c r="O2417" s="15"/>
      <c r="P2417" s="6">
        <v>42705.999224537038</v>
      </c>
      <c r="Q2417" s="17" t="s">
        <v>810</v>
      </c>
      <c r="R2417" s="18" t="s">
        <v>1949</v>
      </c>
      <c r="S2417" s="12"/>
      <c r="T2417" s="12"/>
      <c r="U2417" s="10" t="str">
        <f>HYPERLINK("https://pbs.twimg.com/profile_images/1009872713064820737/I4zrX8RR.jpg","View")</f>
        <v>View</v>
      </c>
    </row>
    <row r="2418" spans="1:21" ht="51">
      <c r="A2418" s="6">
        <v>43426.511145833334</v>
      </c>
      <c r="B2418" s="7" t="str">
        <f>HYPERLINK("https://twitter.com/SafoSocrates","@SafoSocrates")</f>
        <v>@SafoSocrates</v>
      </c>
      <c r="C2418" s="8" t="s">
        <v>8638</v>
      </c>
      <c r="D2418" s="9" t="s">
        <v>8639</v>
      </c>
      <c r="E2418" s="10" t="str">
        <f>HYPERLINK("https://twitter.com/SafoSocrates/status/1065564564190838784","1065564564190838784")</f>
        <v>1065564564190838784</v>
      </c>
      <c r="F2418" s="17" t="s">
        <v>8640</v>
      </c>
      <c r="G2418" s="12"/>
      <c r="H2418" s="12"/>
      <c r="I2418" s="13">
        <v>0</v>
      </c>
      <c r="J2418" s="13">
        <v>0</v>
      </c>
      <c r="K2418" s="14" t="str">
        <f>HYPERLINK("http://twitter.com","Twitter Web Client")</f>
        <v>Twitter Web Client</v>
      </c>
      <c r="L2418" s="13">
        <v>705</v>
      </c>
      <c r="M2418" s="13">
        <v>742</v>
      </c>
      <c r="N2418" s="13">
        <v>2</v>
      </c>
      <c r="O2418" s="15"/>
      <c r="P2418" s="6">
        <v>42615.485856481479</v>
      </c>
      <c r="Q2418" s="17" t="s">
        <v>3407</v>
      </c>
      <c r="R2418" s="18" t="s">
        <v>8641</v>
      </c>
      <c r="S2418" s="12"/>
      <c r="T2418" s="12"/>
      <c r="U2418" s="10" t="str">
        <f>HYPERLINK("https://pbs.twimg.com/profile_images/771645826275741701/OlXbhzfW.jpg","View")</f>
        <v>View</v>
      </c>
    </row>
    <row r="2419" spans="1:21" ht="20.399999999999999">
      <c r="A2419" s="6">
        <v>43426.510370370372</v>
      </c>
      <c r="B2419" s="7" t="str">
        <f>HYPERLINK("https://twitter.com/ILTrovatore1","@ILTrovatore1")</f>
        <v>@ILTrovatore1</v>
      </c>
      <c r="C2419" s="8" t="s">
        <v>8642</v>
      </c>
      <c r="D2419" s="9" t="s">
        <v>8643</v>
      </c>
      <c r="E2419" s="10" t="str">
        <f>HYPERLINK("https://twitter.com/ILTrovatore1/status/1065564279708020737","1065564279708020737")</f>
        <v>1065564279708020737</v>
      </c>
      <c r="F2419" s="12"/>
      <c r="G2419" s="12"/>
      <c r="H2419" s="12"/>
      <c r="I2419" s="13">
        <v>0</v>
      </c>
      <c r="J2419" s="13">
        <v>7</v>
      </c>
      <c r="K2419" s="14" t="str">
        <f>HYPERLINK("http://twitter.com/download/iphone","Twitter for iPhone")</f>
        <v>Twitter for iPhone</v>
      </c>
      <c r="L2419" s="13">
        <v>561</v>
      </c>
      <c r="M2419" s="13">
        <v>277</v>
      </c>
      <c r="N2419" s="13">
        <v>6</v>
      </c>
      <c r="O2419" s="15"/>
      <c r="P2419" s="6">
        <v>40856.556157407409</v>
      </c>
      <c r="Q2419" s="17" t="s">
        <v>1122</v>
      </c>
      <c r="R2419" s="18" t="s">
        <v>8644</v>
      </c>
      <c r="S2419" s="12"/>
      <c r="T2419" s="12"/>
      <c r="U2419" s="10" t="str">
        <f>HYPERLINK("https://pbs.twimg.com/profile_images/1025876745461932040/Fefws4WI.jpg","View")</f>
        <v>View</v>
      </c>
    </row>
    <row r="2420" spans="1:21" ht="30.6">
      <c r="A2420" s="6">
        <v>43426.510312500002</v>
      </c>
      <c r="B2420" s="7" t="str">
        <f>HYPERLINK("https://twitter.com/SrDalgo","@SrDalgo")</f>
        <v>@SrDalgo</v>
      </c>
      <c r="C2420" s="8" t="s">
        <v>8645</v>
      </c>
      <c r="D2420" s="9" t="s">
        <v>8646</v>
      </c>
      <c r="E2420" s="10" t="str">
        <f>HYPERLINK("https://twitter.com/SrDalgo/status/1065564261106282497","1065564261106282497")</f>
        <v>1065564261106282497</v>
      </c>
      <c r="F2420" s="12"/>
      <c r="G2420" s="12"/>
      <c r="H2420" s="12"/>
      <c r="I2420" s="13">
        <v>1</v>
      </c>
      <c r="J2420" s="13">
        <v>2</v>
      </c>
      <c r="K2420" s="14" t="str">
        <f>HYPERLINK("http://twitter.com/download/android","Twitter for Android")</f>
        <v>Twitter for Android</v>
      </c>
      <c r="L2420" s="13">
        <v>421</v>
      </c>
      <c r="M2420" s="13">
        <v>405</v>
      </c>
      <c r="N2420" s="13">
        <v>0</v>
      </c>
      <c r="O2420" s="15"/>
      <c r="P2420" s="6">
        <v>42907.802557870367</v>
      </c>
      <c r="Q2420" s="17" t="s">
        <v>7095</v>
      </c>
      <c r="R2420" s="18" t="s">
        <v>8647</v>
      </c>
      <c r="S2420" s="12"/>
      <c r="T2420" s="12"/>
      <c r="U2420" s="10" t="str">
        <f>HYPERLINK("https://pbs.twimg.com/profile_images/1007888339838685184/RMXmShBs.jpg","View")</f>
        <v>View</v>
      </c>
    </row>
    <row r="2421" spans="1:21" ht="20.399999999999999">
      <c r="A2421" s="6">
        <v>43426.510138888887</v>
      </c>
      <c r="B2421" s="7" t="str">
        <f t="shared" ref="B2421:B2422" si="390">HYPERLINK("https://twitter.com/Alfacebook64","@Alfacebook64")</f>
        <v>@Alfacebook64</v>
      </c>
      <c r="C2421" s="8" t="s">
        <v>2017</v>
      </c>
      <c r="D2421" s="9" t="s">
        <v>5172</v>
      </c>
      <c r="E2421" s="10" t="str">
        <f>HYPERLINK("https://twitter.com/Alfacebook64/status/1065564195641585664","1065564195641585664")</f>
        <v>1065564195641585664</v>
      </c>
      <c r="F2421" s="11" t="s">
        <v>5173</v>
      </c>
      <c r="G2421" s="12"/>
      <c r="H2421" s="12"/>
      <c r="I2421" s="13">
        <v>0</v>
      </c>
      <c r="J2421" s="13">
        <v>0</v>
      </c>
      <c r="K2421" s="14" t="str">
        <f t="shared" ref="K2421:K2422" si="391">HYPERLINK("http://www.apple.com/","OS X")</f>
        <v>OS X</v>
      </c>
      <c r="L2421" s="13">
        <v>4225</v>
      </c>
      <c r="M2421" s="13">
        <v>3499</v>
      </c>
      <c r="N2421" s="13">
        <v>39</v>
      </c>
      <c r="O2421" s="15"/>
      <c r="P2421" s="6">
        <v>42189.951504629629</v>
      </c>
      <c r="Q2421" s="17" t="s">
        <v>2019</v>
      </c>
      <c r="R2421" s="18" t="s">
        <v>2020</v>
      </c>
      <c r="S2421" s="12"/>
      <c r="T2421" s="12"/>
      <c r="U2421" s="10" t="str">
        <f t="shared" ref="U2421:U2422" si="392">HYPERLINK("https://pbs.twimg.com/profile_images/636562609811099648/TOG_sQjr.jpg","View")</f>
        <v>View</v>
      </c>
    </row>
    <row r="2422" spans="1:21" ht="20.399999999999999">
      <c r="A2422" s="6">
        <v>43426.509722222225</v>
      </c>
      <c r="B2422" s="7" t="str">
        <f t="shared" si="390"/>
        <v>@Alfacebook64</v>
      </c>
      <c r="C2422" s="8" t="s">
        <v>2017</v>
      </c>
      <c r="D2422" s="9" t="s">
        <v>1143</v>
      </c>
      <c r="E2422" s="10" t="str">
        <f>HYPERLINK("https://twitter.com/Alfacebook64/status/1065564046945067008","1065564046945067008")</f>
        <v>1065564046945067008</v>
      </c>
      <c r="F2422" s="11" t="s">
        <v>2352</v>
      </c>
      <c r="G2422" s="12"/>
      <c r="H2422" s="12"/>
      <c r="I2422" s="13">
        <v>0</v>
      </c>
      <c r="J2422" s="13">
        <v>0</v>
      </c>
      <c r="K2422" s="14" t="str">
        <f t="shared" si="391"/>
        <v>OS X</v>
      </c>
      <c r="L2422" s="13">
        <v>4225</v>
      </c>
      <c r="M2422" s="13">
        <v>3499</v>
      </c>
      <c r="N2422" s="13">
        <v>39</v>
      </c>
      <c r="O2422" s="15"/>
      <c r="P2422" s="6">
        <v>42189.951504629629</v>
      </c>
      <c r="Q2422" s="17" t="s">
        <v>2019</v>
      </c>
      <c r="R2422" s="18" t="s">
        <v>2020</v>
      </c>
      <c r="S2422" s="12"/>
      <c r="T2422" s="12"/>
      <c r="U2422" s="10" t="str">
        <f t="shared" si="392"/>
        <v>View</v>
      </c>
    </row>
    <row r="2423" spans="1:21" ht="13.2">
      <c r="A2423" s="6">
        <v>43426.509548611109</v>
      </c>
      <c r="B2423" s="7" t="str">
        <f>HYPERLINK("https://twitter.com/luisacule1","@luisacule1")</f>
        <v>@luisacule1</v>
      </c>
      <c r="C2423" s="8" t="s">
        <v>6548</v>
      </c>
      <c r="D2423" s="9" t="s">
        <v>8648</v>
      </c>
      <c r="E2423" s="10" t="str">
        <f>HYPERLINK("https://twitter.com/luisacule1/status/1065563982990385154","1065563982990385154")</f>
        <v>1065563982990385154</v>
      </c>
      <c r="F2423" s="11" t="s">
        <v>8649</v>
      </c>
      <c r="G2423" s="12"/>
      <c r="H2423" s="12"/>
      <c r="I2423" s="13">
        <v>0</v>
      </c>
      <c r="J2423" s="13">
        <v>0</v>
      </c>
      <c r="K2423" s="14" t="str">
        <f>HYPERLINK("http://twitter.com","Twitter Web Client")</f>
        <v>Twitter Web Client</v>
      </c>
      <c r="L2423" s="13">
        <v>245</v>
      </c>
      <c r="M2423" s="13">
        <v>953</v>
      </c>
      <c r="N2423" s="13">
        <v>6</v>
      </c>
      <c r="O2423" s="15"/>
      <c r="P2423" s="6">
        <v>41814.626944444448</v>
      </c>
      <c r="Q2423" s="17" t="s">
        <v>1096</v>
      </c>
      <c r="R2423" s="19"/>
      <c r="S2423" s="12"/>
      <c r="T2423" s="12"/>
      <c r="U2423" s="10" t="str">
        <f>HYPERLINK("https://pbs.twimg.com/profile_images/858979085502078977/lxPP_Cno.jpg","View")</f>
        <v>View</v>
      </c>
    </row>
    <row r="2424" spans="1:21" ht="30.6">
      <c r="A2424" s="6">
        <v>43426.509525462963</v>
      </c>
      <c r="B2424" s="7" t="str">
        <f>HYPERLINK("https://twitter.com/DanteBarrera10","@DanteBarrera10")</f>
        <v>@DanteBarrera10</v>
      </c>
      <c r="C2424" s="8" t="s">
        <v>8650</v>
      </c>
      <c r="D2424" s="9" t="s">
        <v>8651</v>
      </c>
      <c r="E2424" s="10" t="str">
        <f>HYPERLINK("https://twitter.com/DanteBarrera10/status/1065563976304603136","1065563976304603136")</f>
        <v>1065563976304603136</v>
      </c>
      <c r="F2424" s="11" t="s">
        <v>8652</v>
      </c>
      <c r="G2424" s="11" t="s">
        <v>8653</v>
      </c>
      <c r="H2424" s="12"/>
      <c r="I2424" s="13">
        <v>0</v>
      </c>
      <c r="J2424" s="13">
        <v>0</v>
      </c>
      <c r="K2424" s="14" t="str">
        <f>HYPERLINK("https://ifttt.com","IFTTT")</f>
        <v>IFTTT</v>
      </c>
      <c r="L2424" s="13">
        <v>598</v>
      </c>
      <c r="M2424" s="13">
        <v>365</v>
      </c>
      <c r="N2424" s="13">
        <v>18</v>
      </c>
      <c r="O2424" s="15"/>
      <c r="P2424" s="6">
        <v>41044.645231481481</v>
      </c>
      <c r="Q2424" s="12"/>
      <c r="R2424" s="18" t="s">
        <v>8654</v>
      </c>
      <c r="S2424" s="11" t="s">
        <v>8655</v>
      </c>
      <c r="T2424" s="12"/>
      <c r="U2424" s="10" t="str">
        <f>HYPERLINK("https://pbs.twimg.com/profile_images/986048821649182721/2zh9FuTo.jpg","View")</f>
        <v>View</v>
      </c>
    </row>
    <row r="2425" spans="1:21" ht="40.799999999999997">
      <c r="A2425" s="6">
        <v>43426.508912037039</v>
      </c>
      <c r="B2425" s="7" t="str">
        <f>HYPERLINK("https://twitter.com/elmundobaleares","@elmundobaleares")</f>
        <v>@elmundobaleares</v>
      </c>
      <c r="C2425" s="8" t="s">
        <v>8656</v>
      </c>
      <c r="D2425" s="9" t="s">
        <v>8657</v>
      </c>
      <c r="E2425" s="10" t="str">
        <f>HYPERLINK("https://twitter.com/elmundobaleares/status/1065563750768496641","1065563750768496641")</f>
        <v>1065563750768496641</v>
      </c>
      <c r="F2425" s="11" t="s">
        <v>8658</v>
      </c>
      <c r="G2425" s="12"/>
      <c r="H2425" s="12"/>
      <c r="I2425" s="13">
        <v>0</v>
      </c>
      <c r="J2425" s="13">
        <v>0</v>
      </c>
      <c r="K2425" s="14" t="str">
        <f t="shared" ref="K2425:K2428" si="393">HYPERLINK("http://twitter.com","Twitter Web Client")</f>
        <v>Twitter Web Client</v>
      </c>
      <c r="L2425" s="13">
        <v>15718</v>
      </c>
      <c r="M2425" s="13">
        <v>80</v>
      </c>
      <c r="N2425" s="13">
        <v>323</v>
      </c>
      <c r="O2425" s="15"/>
      <c r="P2425" s="6">
        <v>40203.563831018517</v>
      </c>
      <c r="Q2425" s="17" t="s">
        <v>225</v>
      </c>
      <c r="R2425" s="18" t="s">
        <v>8659</v>
      </c>
      <c r="S2425" s="11" t="s">
        <v>8660</v>
      </c>
      <c r="T2425" s="12"/>
      <c r="U2425" s="10" t="str">
        <f>HYPERLINK("https://pbs.twimg.com/profile_images/753924201006891008/hy0o7YAj.jpg","View")</f>
        <v>View</v>
      </c>
    </row>
    <row r="2426" spans="1:21" ht="30.6">
      <c r="A2426" s="6">
        <v>43426.508518518516</v>
      </c>
      <c r="B2426" s="7" t="str">
        <f>HYPERLINK("https://twitter.com/MediodiaOC","@MediodiaOC")</f>
        <v>@MediodiaOC</v>
      </c>
      <c r="C2426" s="8" t="s">
        <v>3348</v>
      </c>
      <c r="D2426" s="9" t="s">
        <v>8661</v>
      </c>
      <c r="E2426" s="10" t="str">
        <f>HYPERLINK("https://twitter.com/MediodiaOC/status/1065563611307933696","1065563611307933696")</f>
        <v>1065563611307933696</v>
      </c>
      <c r="F2426" s="11" t="s">
        <v>8662</v>
      </c>
      <c r="G2426" s="11" t="s">
        <v>8663</v>
      </c>
      <c r="H2426" s="12"/>
      <c r="I2426" s="13">
        <v>1</v>
      </c>
      <c r="J2426" s="13">
        <v>0</v>
      </c>
      <c r="K2426" s="14" t="str">
        <f t="shared" si="393"/>
        <v>Twitter Web Client</v>
      </c>
      <c r="L2426" s="13">
        <v>6800</v>
      </c>
      <c r="M2426" s="13">
        <v>416</v>
      </c>
      <c r="N2426" s="13">
        <v>63</v>
      </c>
      <c r="O2426" s="15"/>
      <c r="P2426" s="6">
        <v>42268.657025462962</v>
      </c>
      <c r="Q2426" s="17" t="s">
        <v>28</v>
      </c>
      <c r="R2426" s="18" t="s">
        <v>3352</v>
      </c>
      <c r="S2426" s="11" t="s">
        <v>3353</v>
      </c>
      <c r="T2426" s="12"/>
      <c r="U2426" s="10" t="str">
        <f>HYPERLINK("https://pbs.twimg.com/profile_images/1051821817827139584/rG2G_Uda.jpg","View")</f>
        <v>View</v>
      </c>
    </row>
    <row r="2427" spans="1:21" ht="30.6">
      <c r="A2427" s="6">
        <v>43426.508518518516</v>
      </c>
      <c r="B2427" s="7" t="str">
        <f>HYPERLINK("https://twitter.com/APernath","@APernath")</f>
        <v>@APernath</v>
      </c>
      <c r="C2427" s="8" t="s">
        <v>8664</v>
      </c>
      <c r="D2427" s="9" t="s">
        <v>8665</v>
      </c>
      <c r="E2427" s="10" t="str">
        <f>HYPERLINK("https://twitter.com/APernath/status/1065563609374367744","1065563609374367744")</f>
        <v>1065563609374367744</v>
      </c>
      <c r="F2427" s="11" t="s">
        <v>7055</v>
      </c>
      <c r="G2427" s="12"/>
      <c r="H2427" s="12"/>
      <c r="I2427" s="13">
        <v>1</v>
      </c>
      <c r="J2427" s="13">
        <v>2</v>
      </c>
      <c r="K2427" s="14" t="str">
        <f t="shared" si="393"/>
        <v>Twitter Web Client</v>
      </c>
      <c r="L2427" s="13">
        <v>1079</v>
      </c>
      <c r="M2427" s="13">
        <v>2617</v>
      </c>
      <c r="N2427" s="13">
        <v>0</v>
      </c>
      <c r="O2427" s="15"/>
      <c r="P2427" s="6">
        <v>41859.445231481484</v>
      </c>
      <c r="Q2427" s="12"/>
      <c r="R2427" s="18" t="s">
        <v>8666</v>
      </c>
      <c r="S2427" s="12"/>
      <c r="T2427" s="12"/>
      <c r="U2427" s="10" t="str">
        <f>HYPERLINK("https://pbs.twimg.com/profile_images/1060496532804374530/VKQ0ARv7.jpg","View")</f>
        <v>View</v>
      </c>
    </row>
    <row r="2428" spans="1:21" ht="51">
      <c r="A2428" s="6">
        <v>43426.508460648147</v>
      </c>
      <c r="B2428" s="7" t="str">
        <f>HYPERLINK("https://twitter.com/NievesJemezB","@NievesJemezB")</f>
        <v>@NievesJemezB</v>
      </c>
      <c r="C2428" s="8" t="s">
        <v>8667</v>
      </c>
      <c r="D2428" s="9" t="s">
        <v>8668</v>
      </c>
      <c r="E2428" s="10" t="str">
        <f>HYPERLINK("https://twitter.com/NievesJemezB/status/1065563590801965056","1065563590801965056")</f>
        <v>1065563590801965056</v>
      </c>
      <c r="F2428" s="12"/>
      <c r="G2428" s="12"/>
      <c r="H2428" s="12"/>
      <c r="I2428" s="13">
        <v>0</v>
      </c>
      <c r="J2428" s="13">
        <v>1</v>
      </c>
      <c r="K2428" s="14" t="str">
        <f t="shared" si="393"/>
        <v>Twitter Web Client</v>
      </c>
      <c r="L2428" s="13">
        <v>1476</v>
      </c>
      <c r="M2428" s="13">
        <v>1431</v>
      </c>
      <c r="N2428" s="13">
        <v>40</v>
      </c>
      <c r="O2428" s="15"/>
      <c r="P2428" s="6">
        <v>41331.81621527778</v>
      </c>
      <c r="Q2428" s="17" t="s">
        <v>8669</v>
      </c>
      <c r="R2428" s="18" t="s">
        <v>8670</v>
      </c>
      <c r="S2428" s="11" t="s">
        <v>8671</v>
      </c>
      <c r="T2428" s="12"/>
      <c r="U2428" s="10" t="str">
        <f>HYPERLINK("https://pbs.twimg.com/profile_images/991727206668931072/FYArZrk1.jpg","View")</f>
        <v>View</v>
      </c>
    </row>
    <row r="2429" spans="1:21" ht="30.6">
      <c r="A2429" s="6">
        <v>43426.507534722223</v>
      </c>
      <c r="B2429" s="7" t="str">
        <f>HYPERLINK("https://twitter.com/MarchalSabater","@MarchalSabater")</f>
        <v>@MarchalSabater</v>
      </c>
      <c r="C2429" s="8" t="s">
        <v>2062</v>
      </c>
      <c r="D2429" s="9" t="s">
        <v>8672</v>
      </c>
      <c r="E2429" s="10" t="str">
        <f>HYPERLINK("https://twitter.com/MarchalSabater/status/1065563251432411137","1065563251432411137")</f>
        <v>1065563251432411137</v>
      </c>
      <c r="F2429" s="11" t="s">
        <v>8673</v>
      </c>
      <c r="G2429" s="12"/>
      <c r="H2429" s="12"/>
      <c r="I2429" s="13">
        <v>0</v>
      </c>
      <c r="J2429" s="13">
        <v>0</v>
      </c>
      <c r="K2429" s="14" t="str">
        <f>HYPERLINK("http://www.facebook.com/twitter","Facebook")</f>
        <v>Facebook</v>
      </c>
      <c r="L2429" s="13">
        <v>1738</v>
      </c>
      <c r="M2429" s="13">
        <v>2349</v>
      </c>
      <c r="N2429" s="13">
        <v>15</v>
      </c>
      <c r="O2429" s="15"/>
      <c r="P2429" s="6">
        <v>40489.531111111108</v>
      </c>
      <c r="Q2429" s="12"/>
      <c r="R2429" s="18" t="s">
        <v>2064</v>
      </c>
      <c r="S2429" s="11" t="s">
        <v>2065</v>
      </c>
      <c r="T2429" s="12"/>
      <c r="U2429" s="10" t="str">
        <f>HYPERLINK("https://pbs.twimg.com/profile_images/1065628396888174592/fq-hEc6u.jpg","View")</f>
        <v>View</v>
      </c>
    </row>
    <row r="2430" spans="1:21" ht="30.6">
      <c r="A2430" s="6">
        <v>43426.50645833333</v>
      </c>
      <c r="B2430" s="7" t="str">
        <f>HYPERLINK("https://twitter.com/FuensantaLM","@FuensantaLM")</f>
        <v>@FuensantaLM</v>
      </c>
      <c r="C2430" s="8" t="s">
        <v>1343</v>
      </c>
      <c r="D2430" s="9" t="s">
        <v>8674</v>
      </c>
      <c r="E2430" s="10" t="str">
        <f>HYPERLINK("https://twitter.com/FuensantaLM/status/1065562862620426241","1065562862620426241")</f>
        <v>1065562862620426241</v>
      </c>
      <c r="F2430" s="11" t="s">
        <v>8675</v>
      </c>
      <c r="G2430" s="11" t="s">
        <v>8676</v>
      </c>
      <c r="H2430" s="12"/>
      <c r="I2430" s="13">
        <v>0</v>
      </c>
      <c r="J2430" s="13">
        <v>0</v>
      </c>
      <c r="K2430" s="14" t="str">
        <f>HYPERLINK("http://www.cosasdeunabailarina.es","Bailarina Auto Twitter")</f>
        <v>Bailarina Auto Twitter</v>
      </c>
      <c r="L2430" s="13">
        <v>14519</v>
      </c>
      <c r="M2430" s="13">
        <v>14525</v>
      </c>
      <c r="N2430" s="13">
        <v>191</v>
      </c>
      <c r="O2430" s="15"/>
      <c r="P2430" s="6">
        <v>41068.571076388893</v>
      </c>
      <c r="Q2430" s="17" t="s">
        <v>28</v>
      </c>
      <c r="R2430" s="18" t="s">
        <v>1349</v>
      </c>
      <c r="S2430" s="11" t="s">
        <v>1350</v>
      </c>
      <c r="T2430" s="12"/>
      <c r="U2430" s="10" t="str">
        <f>HYPERLINK("https://pbs.twimg.com/profile_images/984828025639526400/FWEVAQrE.jpg","View")</f>
        <v>View</v>
      </c>
    </row>
    <row r="2431" spans="1:21" ht="20.399999999999999">
      <c r="A2431" s="6">
        <v>43426.506261574075</v>
      </c>
      <c r="B2431" s="7" t="str">
        <f>HYPERLINK("https://twitter.com/GNR90","@GNR90")</f>
        <v>@GNR90</v>
      </c>
      <c r="C2431" s="8" t="s">
        <v>8623</v>
      </c>
      <c r="D2431" s="9" t="s">
        <v>6349</v>
      </c>
      <c r="E2431" s="10" t="str">
        <f>HYPERLINK("https://twitter.com/GNR90/status/1065562791648604160","1065562791648604160")</f>
        <v>1065562791648604160</v>
      </c>
      <c r="F2431" s="11" t="s">
        <v>8677</v>
      </c>
      <c r="G2431" s="12"/>
      <c r="H2431" s="12"/>
      <c r="I2431" s="13">
        <v>0</v>
      </c>
      <c r="J2431" s="13">
        <v>0</v>
      </c>
      <c r="K2431" s="14" t="str">
        <f>HYPERLINK("http://twitter.com","Twitter Web Client")</f>
        <v>Twitter Web Client</v>
      </c>
      <c r="L2431" s="13">
        <v>208</v>
      </c>
      <c r="M2431" s="13">
        <v>233</v>
      </c>
      <c r="N2431" s="13">
        <v>2</v>
      </c>
      <c r="O2431" s="15"/>
      <c r="P2431" s="6">
        <v>40605.492407407408</v>
      </c>
      <c r="Q2431" s="17" t="s">
        <v>8625</v>
      </c>
      <c r="R2431" s="18" t="s">
        <v>8626</v>
      </c>
      <c r="S2431" s="12"/>
      <c r="T2431" s="12"/>
      <c r="U2431" s="10" t="str">
        <f>HYPERLINK("https://pbs.twimg.com/profile_images/794473506385854464/HitKlVIV.jpg","View")</f>
        <v>View</v>
      </c>
    </row>
    <row r="2432" spans="1:21" ht="30.6">
      <c r="A2432" s="6">
        <v>43426.506168981483</v>
      </c>
      <c r="B2432" s="7" t="str">
        <f>HYPERLINK("https://twitter.com/IPHispanos","@IPHispanos")</f>
        <v>@IPHispanos</v>
      </c>
      <c r="C2432" s="8" t="s">
        <v>8678</v>
      </c>
      <c r="D2432" s="9" t="s">
        <v>3568</v>
      </c>
      <c r="E2432" s="10" t="str">
        <f>HYPERLINK("https://twitter.com/IPHispanos/status/1065562758979174400","1065562758979174400")</f>
        <v>1065562758979174400</v>
      </c>
      <c r="F2432" s="11" t="s">
        <v>8679</v>
      </c>
      <c r="G2432" s="12"/>
      <c r="H2432" s="12"/>
      <c r="I2432" s="13">
        <v>0</v>
      </c>
      <c r="J2432" s="13">
        <v>0</v>
      </c>
      <c r="K2432" s="14" t="str">
        <f>HYPERLINK("http://www.facebook.com/twitter","Facebook")</f>
        <v>Facebook</v>
      </c>
      <c r="L2432" s="13">
        <v>11</v>
      </c>
      <c r="M2432" s="13">
        <v>108</v>
      </c>
      <c r="N2432" s="13">
        <v>0</v>
      </c>
      <c r="O2432" s="15"/>
      <c r="P2432" s="6">
        <v>43415.020821759259</v>
      </c>
      <c r="Q2432" s="12"/>
      <c r="R2432" s="18" t="s">
        <v>8680</v>
      </c>
      <c r="S2432" s="12"/>
      <c r="T2432" s="12"/>
      <c r="U2432" s="10" t="str">
        <f>HYPERLINK("https://pbs.twimg.com/profile_images/1061401824966701057/Z9Af8bo0.jpg","View")</f>
        <v>View</v>
      </c>
    </row>
    <row r="2433" spans="1:21" ht="40.799999999999997">
      <c r="A2433" s="6">
        <v>43426.506111111114</v>
      </c>
      <c r="B2433" s="7" t="str">
        <f>HYPERLINK("https://twitter.com/RafaelBorgesV","@RafaelBorgesV")</f>
        <v>@RafaelBorgesV</v>
      </c>
      <c r="C2433" s="8" t="s">
        <v>8681</v>
      </c>
      <c r="D2433" s="9" t="s">
        <v>8682</v>
      </c>
      <c r="E2433" s="10" t="str">
        <f>HYPERLINK("https://twitter.com/RafaelBorgesV/status/1065562736384450560","1065562736384450560")</f>
        <v>1065562736384450560</v>
      </c>
      <c r="F2433" s="11" t="s">
        <v>8683</v>
      </c>
      <c r="G2433" s="12"/>
      <c r="H2433" s="12"/>
      <c r="I2433" s="13">
        <v>0</v>
      </c>
      <c r="J2433" s="13">
        <v>0</v>
      </c>
      <c r="K2433" s="14" t="str">
        <f>HYPERLINK("https://ifttt.com","IFTTT")</f>
        <v>IFTTT</v>
      </c>
      <c r="L2433" s="13">
        <v>7350</v>
      </c>
      <c r="M2433" s="13">
        <v>6288</v>
      </c>
      <c r="N2433" s="13">
        <v>210</v>
      </c>
      <c r="O2433" s="15"/>
      <c r="P2433" s="6">
        <v>40074.081111111111</v>
      </c>
      <c r="Q2433" s="17" t="s">
        <v>8684</v>
      </c>
      <c r="R2433" s="18" t="s">
        <v>8685</v>
      </c>
      <c r="S2433" s="11" t="s">
        <v>8686</v>
      </c>
      <c r="T2433" s="12"/>
      <c r="U2433" s="10" t="str">
        <f>HYPERLINK("https://pbs.twimg.com/profile_images/642744016510038020/4DfqIphy.jpg","View")</f>
        <v>View</v>
      </c>
    </row>
    <row r="2434" spans="1:21" ht="30.6">
      <c r="A2434" s="6">
        <v>43426.505208333328</v>
      </c>
      <c r="B2434" s="7" t="str">
        <f>HYPERLINK("https://twitter.com/Censelio","@Censelio")</f>
        <v>@Censelio</v>
      </c>
      <c r="C2434" s="8" t="s">
        <v>8687</v>
      </c>
      <c r="D2434" s="9" t="s">
        <v>8688</v>
      </c>
      <c r="E2434" s="10" t="str">
        <f>HYPERLINK("https://twitter.com/Censelio/status/1065562409937575936","1065562409937575936")</f>
        <v>1065562409937575936</v>
      </c>
      <c r="F2434" s="11" t="s">
        <v>8689</v>
      </c>
      <c r="G2434" s="12"/>
      <c r="H2434" s="12"/>
      <c r="I2434" s="13">
        <v>0</v>
      </c>
      <c r="J2434" s="13">
        <v>0</v>
      </c>
      <c r="K2434" s="14" t="str">
        <f>HYPERLINK("http://twitter.com/#!/download/ipad","Twitter for iPad")</f>
        <v>Twitter for iPad</v>
      </c>
      <c r="L2434" s="13">
        <v>21771</v>
      </c>
      <c r="M2434" s="13">
        <v>1440</v>
      </c>
      <c r="N2434" s="13">
        <v>172</v>
      </c>
      <c r="O2434" s="15"/>
      <c r="P2434" s="6">
        <v>40013.628379629634</v>
      </c>
      <c r="Q2434" s="12"/>
      <c r="R2434" s="18" t="s">
        <v>8690</v>
      </c>
      <c r="S2434" s="12"/>
      <c r="T2434" s="12"/>
      <c r="U2434" s="10" t="str">
        <f>HYPERLINK("https://pbs.twimg.com/profile_images/1059039975767969792/8Rna0PQx.jpg","View")</f>
        <v>View</v>
      </c>
    </row>
    <row r="2435" spans="1:21" ht="40.799999999999997">
      <c r="A2435" s="6">
        <v>43426.504942129628</v>
      </c>
      <c r="B2435" s="7" t="str">
        <f>HYPERLINK("https://twitter.com/fms_extremadura","@fms_extremadura")</f>
        <v>@fms_extremadura</v>
      </c>
      <c r="C2435" s="8" t="s">
        <v>8691</v>
      </c>
      <c r="D2435" s="9" t="s">
        <v>8692</v>
      </c>
      <c r="E2435" s="10" t="str">
        <f>HYPERLINK("https://twitter.com/fms_extremadura/status/1065562315691565056","1065562315691565056")</f>
        <v>1065562315691565056</v>
      </c>
      <c r="F2435" s="17" t="s">
        <v>8693</v>
      </c>
      <c r="G2435" s="12"/>
      <c r="H2435" s="12"/>
      <c r="I2435" s="13">
        <v>0</v>
      </c>
      <c r="J2435" s="13">
        <v>0</v>
      </c>
      <c r="K2435" s="14" t="str">
        <f>HYPERLINK("http://twitter.com","Twitter Web Client")</f>
        <v>Twitter Web Client</v>
      </c>
      <c r="L2435" s="13">
        <v>195</v>
      </c>
      <c r="M2435" s="13">
        <v>420</v>
      </c>
      <c r="N2435" s="13">
        <v>5</v>
      </c>
      <c r="O2435" s="15"/>
      <c r="P2435" s="6">
        <v>41876.51122685185</v>
      </c>
      <c r="Q2435" s="12"/>
      <c r="R2435" s="18" t="s">
        <v>8694</v>
      </c>
      <c r="S2435" s="12"/>
      <c r="T2435" s="12"/>
      <c r="U2435" s="10" t="str">
        <f>HYPERLINK("https://pbs.twimg.com/profile_images/913146308466266112/wa6eCO3L.jpg","View")</f>
        <v>View</v>
      </c>
    </row>
    <row r="2436" spans="1:21" ht="102">
      <c r="A2436" s="6">
        <v>43426.504918981482</v>
      </c>
      <c r="B2436" s="7" t="str">
        <f>HYPERLINK("https://twitter.com/paulomariante","@paulomariante")</f>
        <v>@paulomariante</v>
      </c>
      <c r="C2436" s="8" t="s">
        <v>8695</v>
      </c>
      <c r="D2436" s="9" t="s">
        <v>8696</v>
      </c>
      <c r="E2436" s="10" t="str">
        <f>HYPERLINK("https://twitter.com/paulomariante/status/1065562303565885440","1065562303565885440")</f>
        <v>1065562303565885440</v>
      </c>
      <c r="F2436" s="11" t="s">
        <v>8697</v>
      </c>
      <c r="G2436" s="11" t="s">
        <v>8698</v>
      </c>
      <c r="H2436" s="12"/>
      <c r="I2436" s="13">
        <v>0</v>
      </c>
      <c r="J2436" s="13">
        <v>0</v>
      </c>
      <c r="K2436" s="14" t="str">
        <f>HYPERLINK("http://twitter.com/download/android","Twitter for Android")</f>
        <v>Twitter for Android</v>
      </c>
      <c r="L2436" s="13">
        <v>1505</v>
      </c>
      <c r="M2436" s="13">
        <v>1364</v>
      </c>
      <c r="N2436" s="13">
        <v>11</v>
      </c>
      <c r="O2436" s="15"/>
      <c r="P2436" s="6">
        <v>39963.780358796299</v>
      </c>
      <c r="Q2436" s="17" t="s">
        <v>8699</v>
      </c>
      <c r="R2436" s="18" t="s">
        <v>8700</v>
      </c>
      <c r="S2436" s="11" t="s">
        <v>8701</v>
      </c>
      <c r="T2436" s="12"/>
      <c r="U2436" s="10" t="str">
        <f>HYPERLINK("https://pbs.twimg.com/profile_images/1057014962126766080/5BpS-eMy.jpg","View")</f>
        <v>View</v>
      </c>
    </row>
    <row r="2437" spans="1:21" ht="51">
      <c r="A2437" s="6">
        <v>43426.504756944443</v>
      </c>
      <c r="B2437" s="7" t="str">
        <f>HYPERLINK("https://twitter.com/CGFLO_ET","@CGFLO_ET")</f>
        <v>@CGFLO_ET</v>
      </c>
      <c r="C2437" s="8" t="s">
        <v>8702</v>
      </c>
      <c r="D2437" s="9" t="s">
        <v>8703</v>
      </c>
      <c r="E2437" s="10" t="str">
        <f>HYPERLINK("https://twitter.com/CGFLO_ET/status/1065562246959505409","1065562246959505409")</f>
        <v>1065562246959505409</v>
      </c>
      <c r="F2437" s="12"/>
      <c r="G2437" s="11" t="s">
        <v>8704</v>
      </c>
      <c r="H2437" s="12"/>
      <c r="I2437" s="13">
        <v>7</v>
      </c>
      <c r="J2437" s="13">
        <v>14</v>
      </c>
      <c r="K2437" s="14" t="str">
        <f t="shared" ref="K2437:K2438" si="394">HYPERLINK("http://twitter.com","Twitter Web Client")</f>
        <v>Twitter Web Client</v>
      </c>
      <c r="L2437" s="13">
        <v>16190</v>
      </c>
      <c r="M2437" s="13">
        <v>27</v>
      </c>
      <c r="N2437" s="13">
        <v>92</v>
      </c>
      <c r="O2437" s="16" t="s">
        <v>26</v>
      </c>
      <c r="P2437" s="6">
        <v>41424.447442129633</v>
      </c>
      <c r="Q2437" s="17" t="s">
        <v>8705</v>
      </c>
      <c r="R2437" s="18" t="s">
        <v>8706</v>
      </c>
      <c r="S2437" s="11" t="s">
        <v>8707</v>
      </c>
      <c r="T2437" s="12"/>
      <c r="U2437" s="10" t="str">
        <f>HYPERLINK("https://pbs.twimg.com/profile_images/899932802417917952/lkj2u6Yw.jpg","View")</f>
        <v>View</v>
      </c>
    </row>
    <row r="2438" spans="1:21" ht="40.799999999999997">
      <c r="A2438" s="6">
        <v>43426.504756944443</v>
      </c>
      <c r="B2438" s="7" t="str">
        <f>HYPERLINK("https://twitter.com/CidobBarcelona","@CidobBarcelona")</f>
        <v>@CidobBarcelona</v>
      </c>
      <c r="C2438" s="8" t="s">
        <v>8708</v>
      </c>
      <c r="D2438" s="9" t="s">
        <v>8709</v>
      </c>
      <c r="E2438" s="10" t="str">
        <f>HYPERLINK("https://twitter.com/CidobBarcelona/status/1065562245449621504","1065562245449621504")</f>
        <v>1065562245449621504</v>
      </c>
      <c r="F2438" s="17" t="s">
        <v>8710</v>
      </c>
      <c r="G2438" s="11" t="s">
        <v>8711</v>
      </c>
      <c r="H2438" s="12"/>
      <c r="I2438" s="13">
        <v>1</v>
      </c>
      <c r="J2438" s="13">
        <v>4</v>
      </c>
      <c r="K2438" s="14" t="str">
        <f t="shared" si="394"/>
        <v>Twitter Web Client</v>
      </c>
      <c r="L2438" s="13">
        <v>20029</v>
      </c>
      <c r="M2438" s="13">
        <v>845</v>
      </c>
      <c r="N2438" s="13">
        <v>622</v>
      </c>
      <c r="O2438" s="16" t="s">
        <v>26</v>
      </c>
      <c r="P2438" s="6">
        <v>40723.498657407406</v>
      </c>
      <c r="Q2438" s="17" t="s">
        <v>8105</v>
      </c>
      <c r="R2438" s="18" t="s">
        <v>8712</v>
      </c>
      <c r="S2438" s="11" t="s">
        <v>8713</v>
      </c>
      <c r="T2438" s="12"/>
      <c r="U2438" s="10" t="str">
        <f>HYPERLINK("https://pbs.twimg.com/profile_images/899555220077895681/1VHAI9Iy.jpg","View")</f>
        <v>View</v>
      </c>
    </row>
    <row r="2439" spans="1:21" ht="20.399999999999999">
      <c r="A2439" s="6">
        <v>43426.504409722227</v>
      </c>
      <c r="B2439" s="7" t="str">
        <f>HYPERLINK("https://twitter.com/El_Emigrao","@El_Emigrao")</f>
        <v>@El_Emigrao</v>
      </c>
      <c r="C2439" s="8" t="s">
        <v>8714</v>
      </c>
      <c r="D2439" s="9" t="s">
        <v>8715</v>
      </c>
      <c r="E2439" s="10" t="str">
        <f>HYPERLINK("https://twitter.com/El_Emigrao/status/1065562119045873665","1065562119045873665")</f>
        <v>1065562119045873665</v>
      </c>
      <c r="F2439" s="11" t="s">
        <v>8716</v>
      </c>
      <c r="G2439" s="12"/>
      <c r="H2439" s="12"/>
      <c r="I2439" s="13">
        <v>0</v>
      </c>
      <c r="J2439" s="13">
        <v>0</v>
      </c>
      <c r="K2439" s="14" t="str">
        <f>HYPERLINK("http://www.facebook.com/twitter","Facebook")</f>
        <v>Facebook</v>
      </c>
      <c r="L2439" s="13">
        <v>416</v>
      </c>
      <c r="M2439" s="13">
        <v>427</v>
      </c>
      <c r="N2439" s="13">
        <v>5</v>
      </c>
      <c r="O2439" s="15"/>
      <c r="P2439" s="6">
        <v>41186.772615740745</v>
      </c>
      <c r="Q2439" s="17" t="s">
        <v>8717</v>
      </c>
      <c r="R2439" s="18" t="s">
        <v>8718</v>
      </c>
      <c r="S2439" s="12"/>
      <c r="T2439" s="12"/>
      <c r="U2439" s="10" t="str">
        <f>HYPERLINK("https://pbs.twimg.com/profile_images/2683113260/f192e73d0578ebdb465f366a3bb99de4.png","View")</f>
        <v>View</v>
      </c>
    </row>
    <row r="2440" spans="1:21" ht="40.799999999999997">
      <c r="A2440" s="6">
        <v>43426.504201388889</v>
      </c>
      <c r="B2440" s="7" t="str">
        <f>HYPERLINK("https://twitter.com/JDImmigration","@JDImmigration")</f>
        <v>@JDImmigration</v>
      </c>
      <c r="C2440" s="8" t="s">
        <v>8719</v>
      </c>
      <c r="D2440" s="9" t="s">
        <v>8720</v>
      </c>
      <c r="E2440" s="10" t="str">
        <f>HYPERLINK("https://twitter.com/JDImmigration/status/1065562045079269376","1065562045079269376")</f>
        <v>1065562045079269376</v>
      </c>
      <c r="F2440" s="11" t="s">
        <v>8721</v>
      </c>
      <c r="G2440" s="11" t="s">
        <v>8722</v>
      </c>
      <c r="H2440" s="12"/>
      <c r="I2440" s="13">
        <v>0</v>
      </c>
      <c r="J2440" s="13">
        <v>0</v>
      </c>
      <c r="K2440" s="14" t="str">
        <f>HYPERLINK("https://buffer.com","Buffer")</f>
        <v>Buffer</v>
      </c>
      <c r="L2440" s="13">
        <v>635</v>
      </c>
      <c r="M2440" s="13">
        <v>681</v>
      </c>
      <c r="N2440" s="13">
        <v>8</v>
      </c>
      <c r="O2440" s="15"/>
      <c r="P2440" s="6">
        <v>40995.60020833333</v>
      </c>
      <c r="Q2440" s="17" t="s">
        <v>72</v>
      </c>
      <c r="R2440" s="18" t="s">
        <v>8723</v>
      </c>
      <c r="S2440" s="11" t="s">
        <v>8724</v>
      </c>
      <c r="T2440" s="12"/>
      <c r="U2440" s="10" t="str">
        <f>HYPERLINK("https://pbs.twimg.com/profile_images/841184924757610496/QFKCRnuB.jpg","View")</f>
        <v>View</v>
      </c>
    </row>
    <row r="2441" spans="1:21" ht="40.799999999999997">
      <c r="A2441" s="6">
        <v>43426.503761574073</v>
      </c>
      <c r="B2441" s="7" t="str">
        <f>HYPERLINK("https://twitter.com/mentxudripos","@mentxudripos")</f>
        <v>@mentxudripos</v>
      </c>
      <c r="C2441" s="8" t="s">
        <v>6499</v>
      </c>
      <c r="D2441" s="9" t="s">
        <v>8725</v>
      </c>
      <c r="E2441" s="10" t="str">
        <f>HYPERLINK("https://twitter.com/mentxudripos/status/1065561884605194240","1065561884605194240")</f>
        <v>1065561884605194240</v>
      </c>
      <c r="F2441" s="11" t="s">
        <v>8726</v>
      </c>
      <c r="G2441" s="11" t="s">
        <v>8727</v>
      </c>
      <c r="H2441" s="12"/>
      <c r="I2441" s="13">
        <v>0</v>
      </c>
      <c r="J2441" s="13">
        <v>0</v>
      </c>
      <c r="K2441" s="14" t="str">
        <f>HYPERLINK("https://ifttt.com","IFTTT")</f>
        <v>IFTTT</v>
      </c>
      <c r="L2441" s="13">
        <v>623</v>
      </c>
      <c r="M2441" s="13">
        <v>566</v>
      </c>
      <c r="N2441" s="13">
        <v>31</v>
      </c>
      <c r="O2441" s="15"/>
      <c r="P2441" s="6">
        <v>39956.724722222221</v>
      </c>
      <c r="Q2441" s="17" t="s">
        <v>27</v>
      </c>
      <c r="R2441" s="18" t="s">
        <v>6503</v>
      </c>
      <c r="S2441" s="12"/>
      <c r="T2441" s="12"/>
      <c r="U2441" s="10" t="str">
        <f>HYPERLINK("https://pbs.twimg.com/profile_images/968158915530838016/d710fCSP.jpg","View")</f>
        <v>View</v>
      </c>
    </row>
    <row r="2442" spans="1:21" ht="20.399999999999999">
      <c r="A2442" s="6">
        <v>43426.503541666665</v>
      </c>
      <c r="B2442" s="7" t="str">
        <f>HYPERLINK("https://twitter.com/Alfacebook64","@Alfacebook64")</f>
        <v>@Alfacebook64</v>
      </c>
      <c r="C2442" s="8" t="s">
        <v>2017</v>
      </c>
      <c r="D2442" s="9" t="s">
        <v>8728</v>
      </c>
      <c r="E2442" s="10" t="str">
        <f>HYPERLINK("https://twitter.com/Alfacebook64/status/1065561806624698369","1065561806624698369")</f>
        <v>1065561806624698369</v>
      </c>
      <c r="F2442" s="11" t="s">
        <v>8729</v>
      </c>
      <c r="G2442" s="12"/>
      <c r="H2442" s="12"/>
      <c r="I2442" s="13">
        <v>0</v>
      </c>
      <c r="J2442" s="13">
        <v>0</v>
      </c>
      <c r="K2442" s="14" t="str">
        <f t="shared" ref="K2442:K2445" si="395">HYPERLINK("http://twitter.com","Twitter Web Client")</f>
        <v>Twitter Web Client</v>
      </c>
      <c r="L2442" s="13">
        <v>4225</v>
      </c>
      <c r="M2442" s="13">
        <v>3499</v>
      </c>
      <c r="N2442" s="13">
        <v>39</v>
      </c>
      <c r="O2442" s="15"/>
      <c r="P2442" s="6">
        <v>42189.951504629629</v>
      </c>
      <c r="Q2442" s="17" t="s">
        <v>2019</v>
      </c>
      <c r="R2442" s="18" t="s">
        <v>2020</v>
      </c>
      <c r="S2442" s="12"/>
      <c r="T2442" s="12"/>
      <c r="U2442" s="10" t="str">
        <f>HYPERLINK("https://pbs.twimg.com/profile_images/636562609811099648/TOG_sQjr.jpg","View")</f>
        <v>View</v>
      </c>
    </row>
    <row r="2443" spans="1:21" ht="81.599999999999994">
      <c r="A2443" s="6">
        <v>43426.503414351857</v>
      </c>
      <c r="B2443" s="7" t="str">
        <f>HYPERLINK("https://twitter.com/info_pascual","@info_pascual")</f>
        <v>@info_pascual</v>
      </c>
      <c r="C2443" s="8" t="s">
        <v>8316</v>
      </c>
      <c r="D2443" s="9" t="s">
        <v>8730</v>
      </c>
      <c r="E2443" s="10" t="str">
        <f>HYPERLINK("https://twitter.com/info_pascual/status/1065561759770136576","1065561759770136576")</f>
        <v>1065561759770136576</v>
      </c>
      <c r="F2443" s="11" t="s">
        <v>5024</v>
      </c>
      <c r="G2443" s="12"/>
      <c r="H2443" s="12"/>
      <c r="I2443" s="13">
        <v>0</v>
      </c>
      <c r="J2443" s="13">
        <v>0</v>
      </c>
      <c r="K2443" s="14" t="str">
        <f t="shared" si="395"/>
        <v>Twitter Web Client</v>
      </c>
      <c r="L2443" s="13">
        <v>1032</v>
      </c>
      <c r="M2443" s="13">
        <v>963</v>
      </c>
      <c r="N2443" s="13">
        <v>28</v>
      </c>
      <c r="O2443" s="15"/>
      <c r="P2443" s="6">
        <v>41463.539884259255</v>
      </c>
      <c r="Q2443" s="12"/>
      <c r="R2443" s="18" t="s">
        <v>8319</v>
      </c>
      <c r="S2443" s="12"/>
      <c r="T2443" s="12"/>
      <c r="U2443" s="10" t="str">
        <f>HYPERLINK("https://pbs.twimg.com/profile_images/378800000861833243/gikUolZH.jpeg","View")</f>
        <v>View</v>
      </c>
    </row>
    <row r="2444" spans="1:21" ht="20.399999999999999">
      <c r="A2444" s="6">
        <v>43426.503414351857</v>
      </c>
      <c r="B2444" s="7" t="str">
        <f>HYPERLINK("https://twitter.com/Alfacebook64","@Alfacebook64")</f>
        <v>@Alfacebook64</v>
      </c>
      <c r="C2444" s="8" t="s">
        <v>2017</v>
      </c>
      <c r="D2444" s="9" t="s">
        <v>8731</v>
      </c>
      <c r="E2444" s="10" t="str">
        <f>HYPERLINK("https://twitter.com/Alfacebook64/status/1065561758989987840","1065561758989987840")</f>
        <v>1065561758989987840</v>
      </c>
      <c r="F2444" s="11" t="s">
        <v>8732</v>
      </c>
      <c r="G2444" s="12"/>
      <c r="H2444" s="12"/>
      <c r="I2444" s="13">
        <v>0</v>
      </c>
      <c r="J2444" s="13">
        <v>0</v>
      </c>
      <c r="K2444" s="14" t="str">
        <f t="shared" si="395"/>
        <v>Twitter Web Client</v>
      </c>
      <c r="L2444" s="13">
        <v>4225</v>
      </c>
      <c r="M2444" s="13">
        <v>3499</v>
      </c>
      <c r="N2444" s="13">
        <v>39</v>
      </c>
      <c r="O2444" s="15"/>
      <c r="P2444" s="6">
        <v>42189.951504629629</v>
      </c>
      <c r="Q2444" s="17" t="s">
        <v>2019</v>
      </c>
      <c r="R2444" s="18" t="s">
        <v>2020</v>
      </c>
      <c r="S2444" s="12"/>
      <c r="T2444" s="12"/>
      <c r="U2444" s="10" t="str">
        <f>HYPERLINK("https://pbs.twimg.com/profile_images/636562609811099648/TOG_sQjr.jpg","View")</f>
        <v>View</v>
      </c>
    </row>
    <row r="2445" spans="1:21" ht="40.799999999999997">
      <c r="A2445" s="6">
        <v>43426.502013888894</v>
      </c>
      <c r="B2445" s="7" t="str">
        <f>HYPERLINK("https://twitter.com/efedata","@efedata")</f>
        <v>@efedata</v>
      </c>
      <c r="C2445" s="8" t="s">
        <v>8733</v>
      </c>
      <c r="D2445" s="9" t="s">
        <v>8734</v>
      </c>
      <c r="E2445" s="10" t="str">
        <f>HYPERLINK("https://twitter.com/efedata/status/1065561252116799488","1065561252116799488")</f>
        <v>1065561252116799488</v>
      </c>
      <c r="F2445" s="11" t="s">
        <v>8735</v>
      </c>
      <c r="G2445" s="12"/>
      <c r="H2445" s="12"/>
      <c r="I2445" s="13">
        <v>0</v>
      </c>
      <c r="J2445" s="13">
        <v>0</v>
      </c>
      <c r="K2445" s="14" t="str">
        <f t="shared" si="395"/>
        <v>Twitter Web Client</v>
      </c>
      <c r="L2445" s="13">
        <v>2218</v>
      </c>
      <c r="M2445" s="13">
        <v>184</v>
      </c>
      <c r="N2445" s="13">
        <v>106</v>
      </c>
      <c r="O2445" s="15"/>
      <c r="P2445" s="6">
        <v>41416.660671296297</v>
      </c>
      <c r="Q2445" s="17" t="s">
        <v>72</v>
      </c>
      <c r="R2445" s="18" t="s">
        <v>8736</v>
      </c>
      <c r="S2445" s="11" t="s">
        <v>8737</v>
      </c>
      <c r="T2445" s="12"/>
      <c r="U2445" s="10" t="str">
        <f>HYPERLINK("https://pbs.twimg.com/profile_images/930873314586787840/HVSJN1pY.jpg","View")</f>
        <v>View</v>
      </c>
    </row>
    <row r="2446" spans="1:21" ht="30.6">
      <c r="A2446" s="6">
        <v>43426.501979166671</v>
      </c>
      <c r="B2446" s="7" t="str">
        <f>HYPERLINK("https://twitter.com/MarmitaBares","@MarmitaBares")</f>
        <v>@MarmitaBares</v>
      </c>
      <c r="C2446" s="8" t="s">
        <v>8738</v>
      </c>
      <c r="D2446" s="9" t="s">
        <v>8739</v>
      </c>
      <c r="E2446" s="10" t="str">
        <f>HYPERLINK("https://twitter.com/MarmitaBares/status/1065561238225211392","1065561238225211392")</f>
        <v>1065561238225211392</v>
      </c>
      <c r="F2446" s="11" t="s">
        <v>8740</v>
      </c>
      <c r="G2446" s="12"/>
      <c r="H2446" s="12"/>
      <c r="I2446" s="13">
        <v>0</v>
      </c>
      <c r="J2446" s="13">
        <v>0</v>
      </c>
      <c r="K2446" s="14" t="str">
        <f>HYPERLINK("http://www.facebook.com/twitter","Facebook")</f>
        <v>Facebook</v>
      </c>
      <c r="L2446" s="13">
        <v>567</v>
      </c>
      <c r="M2446" s="13">
        <v>544</v>
      </c>
      <c r="N2446" s="13">
        <v>7</v>
      </c>
      <c r="O2446" s="15"/>
      <c r="P2446" s="6">
        <v>41221.559108796297</v>
      </c>
      <c r="Q2446" s="17" t="s">
        <v>8741</v>
      </c>
      <c r="R2446" s="18" t="s">
        <v>8742</v>
      </c>
      <c r="S2446" s="11" t="s">
        <v>8743</v>
      </c>
      <c r="T2446" s="12"/>
      <c r="U2446" s="10" t="str">
        <f>HYPERLINK("https://pbs.twimg.com/profile_images/514005293101887488/aXsxkXBk.jpeg","View")</f>
        <v>View</v>
      </c>
    </row>
    <row r="2447" spans="1:21" ht="30.6">
      <c r="A2447" s="6">
        <v>43426.501689814817</v>
      </c>
      <c r="B2447" s="7" t="str">
        <f>HYPERLINK("https://twitter.com/LVetrinbajo","@LVetrinbajo")</f>
        <v>@LVetrinbajo</v>
      </c>
      <c r="C2447" s="8" t="s">
        <v>4545</v>
      </c>
      <c r="D2447" s="9" t="s">
        <v>8744</v>
      </c>
      <c r="E2447" s="10" t="str">
        <f>HYPERLINK("https://twitter.com/LVetrinbajo/status/1065561137394184192","1065561137394184192")</f>
        <v>1065561137394184192</v>
      </c>
      <c r="F2447" s="12"/>
      <c r="G2447" s="12"/>
      <c r="H2447" s="12"/>
      <c r="I2447" s="13">
        <v>0</v>
      </c>
      <c r="J2447" s="13">
        <v>0</v>
      </c>
      <c r="K2447" s="14" t="str">
        <f>HYPERLINK("http://twitter.com/download/iphone","Twitter for iPhone")</f>
        <v>Twitter for iPhone</v>
      </c>
      <c r="L2447" s="13">
        <v>830</v>
      </c>
      <c r="M2447" s="13">
        <v>1867</v>
      </c>
      <c r="N2447" s="13">
        <v>7</v>
      </c>
      <c r="O2447" s="15"/>
      <c r="P2447" s="6">
        <v>43091.966851851852</v>
      </c>
      <c r="Q2447" s="17" t="s">
        <v>6553</v>
      </c>
      <c r="R2447" s="18" t="s">
        <v>6554</v>
      </c>
      <c r="S2447" s="12"/>
      <c r="T2447" s="12"/>
      <c r="U2447" s="10" t="str">
        <f>HYPERLINK("https://pbs.twimg.com/profile_images/1002927443542528001/Ye4GwF3U.jpg","View")</f>
        <v>View</v>
      </c>
    </row>
    <row r="2448" spans="1:21" ht="40.799999999999997">
      <c r="A2448" s="6">
        <v>43426.500972222224</v>
      </c>
      <c r="B2448" s="7" t="str">
        <f>HYPERLINK("https://twitter.com/24h_tve","@24h_tve")</f>
        <v>@24h_tve</v>
      </c>
      <c r="C2448" s="8" t="s">
        <v>3001</v>
      </c>
      <c r="D2448" s="9" t="s">
        <v>8745</v>
      </c>
      <c r="E2448" s="10" t="str">
        <f>HYPERLINK("https://twitter.com/24h_tve/status/1065560876021948416","1065560876021948416")</f>
        <v>1065560876021948416</v>
      </c>
      <c r="F2448" s="12"/>
      <c r="G2448" s="11" t="s">
        <v>8426</v>
      </c>
      <c r="H2448" s="12"/>
      <c r="I2448" s="13">
        <v>18</v>
      </c>
      <c r="J2448" s="13">
        <v>20</v>
      </c>
      <c r="K2448" s="14" t="str">
        <f>HYPERLINK("https://studio.twitter.com","Media Studio")</f>
        <v>Media Studio</v>
      </c>
      <c r="L2448" s="13">
        <v>1294731</v>
      </c>
      <c r="M2448" s="13">
        <v>699</v>
      </c>
      <c r="N2448" s="13">
        <v>7928</v>
      </c>
      <c r="O2448" s="16" t="s">
        <v>26</v>
      </c>
      <c r="P2448" s="6">
        <v>39944.898831018516</v>
      </c>
      <c r="Q2448" s="12"/>
      <c r="R2448" s="18" t="s">
        <v>3003</v>
      </c>
      <c r="S2448" s="11" t="s">
        <v>3005</v>
      </c>
      <c r="T2448" s="12"/>
      <c r="U2448" s="10" t="str">
        <f>HYPERLINK("https://pbs.twimg.com/profile_images/1053217770387791872/fYDDQc0x.jpg","View")</f>
        <v>View</v>
      </c>
    </row>
    <row r="2449" spans="1:21" ht="13.2">
      <c r="A2449" s="6">
        <v>43426.500891203701</v>
      </c>
      <c r="B2449" s="7" t="str">
        <f>HYPERLINK("https://twitter.com/cancer20dejulio","@cancer20dejulio")</f>
        <v>@cancer20dejulio</v>
      </c>
      <c r="C2449" s="8" t="s">
        <v>8746</v>
      </c>
      <c r="D2449" s="9" t="s">
        <v>5584</v>
      </c>
      <c r="E2449" s="10" t="str">
        <f>HYPERLINK("https://twitter.com/cancer20dejulio/status/1065560846313684994","1065560846313684994")</f>
        <v>1065560846313684994</v>
      </c>
      <c r="F2449" s="11" t="s">
        <v>8213</v>
      </c>
      <c r="G2449" s="12"/>
      <c r="H2449" s="12"/>
      <c r="I2449" s="13">
        <v>0</v>
      </c>
      <c r="J2449" s="13">
        <v>0</v>
      </c>
      <c r="K2449" s="14" t="str">
        <f>HYPERLINK("http://twitter.com","Twitter Web Client")</f>
        <v>Twitter Web Client</v>
      </c>
      <c r="L2449" s="13">
        <v>121</v>
      </c>
      <c r="M2449" s="13">
        <v>230</v>
      </c>
      <c r="N2449" s="13">
        <v>11</v>
      </c>
      <c r="O2449" s="15"/>
      <c r="P2449" s="6">
        <v>41844.129467592589</v>
      </c>
      <c r="Q2449" s="12"/>
      <c r="R2449" s="19"/>
      <c r="S2449" s="12"/>
      <c r="T2449" s="12"/>
      <c r="U2449" s="16" t="s">
        <v>373</v>
      </c>
    </row>
    <row r="2450" spans="1:21" ht="20.399999999999999">
      <c r="A2450" s="6">
        <v>43426.500868055555</v>
      </c>
      <c r="B2450" s="7" t="str">
        <f>HYPERLINK("https://twitter.com/mariaymartinez5","@mariaymartinez5")</f>
        <v>@mariaymartinez5</v>
      </c>
      <c r="C2450" s="8" t="s">
        <v>8747</v>
      </c>
      <c r="D2450" s="9" t="s">
        <v>8748</v>
      </c>
      <c r="E2450" s="10" t="str">
        <f>HYPERLINK("https://twitter.com/mariaymartinez5/status/1065560839141425153","1065560839141425153")</f>
        <v>1065560839141425153</v>
      </c>
      <c r="F2450" s="11" t="s">
        <v>8749</v>
      </c>
      <c r="G2450" s="12"/>
      <c r="H2450" s="12"/>
      <c r="I2450" s="13">
        <v>0</v>
      </c>
      <c r="J2450" s="13">
        <v>0</v>
      </c>
      <c r="K2450" s="14" t="str">
        <f>HYPERLINK("https://ifttt.com","IFTTT")</f>
        <v>IFTTT</v>
      </c>
      <c r="L2450" s="13">
        <v>28</v>
      </c>
      <c r="M2450" s="13">
        <v>69</v>
      </c>
      <c r="N2450" s="13">
        <v>0</v>
      </c>
      <c r="O2450" s="15"/>
      <c r="P2450" s="6">
        <v>42886.484340277777</v>
      </c>
      <c r="Q2450" s="17" t="s">
        <v>810</v>
      </c>
      <c r="R2450" s="18" t="s">
        <v>8750</v>
      </c>
      <c r="S2450" s="12"/>
      <c r="T2450" s="12"/>
      <c r="U2450" s="10" t="str">
        <f>HYPERLINK("https://pbs.twimg.com/profile_images/869851111070605312/eH9RtSLv.jpg","View")</f>
        <v>View</v>
      </c>
    </row>
    <row r="2451" spans="1:21" ht="51">
      <c r="A2451" s="6">
        <v>43426.500289351854</v>
      </c>
      <c r="B2451" s="7" t="str">
        <f>HYPERLINK("https://twitter.com/jrbotanam","@jrbotanam")</f>
        <v>@jrbotanam</v>
      </c>
      <c r="C2451" s="8" t="s">
        <v>8751</v>
      </c>
      <c r="D2451" s="9" t="s">
        <v>8752</v>
      </c>
      <c r="E2451" s="10" t="str">
        <f>HYPERLINK("https://twitter.com/jrbotanam/status/1065560628125999104","1065560628125999104")</f>
        <v>1065560628125999104</v>
      </c>
      <c r="F2451" s="11" t="s">
        <v>8753</v>
      </c>
      <c r="G2451" s="12"/>
      <c r="H2451" s="12"/>
      <c r="I2451" s="13">
        <v>0</v>
      </c>
      <c r="J2451" s="13">
        <v>0</v>
      </c>
      <c r="K2451" s="14" t="str">
        <f>HYPERLINK("https://buffer.com","Buffer")</f>
        <v>Buffer</v>
      </c>
      <c r="L2451" s="13">
        <v>464</v>
      </c>
      <c r="M2451" s="13">
        <v>408</v>
      </c>
      <c r="N2451" s="13">
        <v>29</v>
      </c>
      <c r="O2451" s="15"/>
      <c r="P2451" s="6">
        <v>40026.528726851851</v>
      </c>
      <c r="Q2451" s="17" t="s">
        <v>8754</v>
      </c>
      <c r="R2451" s="27" t="s">
        <v>8755</v>
      </c>
      <c r="S2451" s="12"/>
      <c r="T2451" s="12"/>
      <c r="U2451" s="10" t="str">
        <f>HYPERLINK("https://pbs.twimg.com/profile_images/1028552517129588736/unXXK5-L.jpg","View")</f>
        <v>View</v>
      </c>
    </row>
    <row r="2452" spans="1:21" ht="51">
      <c r="A2452" s="6">
        <v>43426.500231481477</v>
      </c>
      <c r="B2452" s="7" t="str">
        <f>HYPERLINK("https://twitter.com/martinoticias","@martinoticias")</f>
        <v>@martinoticias</v>
      </c>
      <c r="C2452" s="8" t="s">
        <v>4130</v>
      </c>
      <c r="D2452" s="9" t="s">
        <v>8756</v>
      </c>
      <c r="E2452" s="10" t="str">
        <f>HYPERLINK("https://twitter.com/martinoticias/status/1065560607204696065","1065560607204696065")</f>
        <v>1065560607204696065</v>
      </c>
      <c r="F2452" s="11" t="s">
        <v>8757</v>
      </c>
      <c r="G2452" s="12"/>
      <c r="H2452" s="12"/>
      <c r="I2452" s="13">
        <v>5</v>
      </c>
      <c r="J2452" s="13">
        <v>4</v>
      </c>
      <c r="K2452" s="14" t="str">
        <f>HYPERLINK("http://www.socialbakers.com/","Socialbakers")</f>
        <v>Socialbakers</v>
      </c>
      <c r="L2452" s="13">
        <v>17427</v>
      </c>
      <c r="M2452" s="13">
        <v>3644</v>
      </c>
      <c r="N2452" s="13">
        <v>403</v>
      </c>
      <c r="O2452" s="15"/>
      <c r="P2452" s="6">
        <v>39874.603946759264</v>
      </c>
      <c r="Q2452" s="17" t="s">
        <v>127</v>
      </c>
      <c r="R2452" s="18" t="s">
        <v>4133</v>
      </c>
      <c r="S2452" s="11" t="s">
        <v>4134</v>
      </c>
      <c r="T2452" s="12"/>
      <c r="U2452" s="10" t="str">
        <f>HYPERLINK("https://pbs.twimg.com/profile_images/1048254701974827009/wiy6pU4s.jpg","View")</f>
        <v>View</v>
      </c>
    </row>
    <row r="2453" spans="1:21" ht="30.6">
      <c r="A2453" s="6">
        <v>43426.5</v>
      </c>
      <c r="B2453" s="7" t="str">
        <f>HYPERLINK("https://twitter.com/ATodoMomento_","@ATodoMomento_")</f>
        <v>@ATodoMomento_</v>
      </c>
      <c r="C2453" s="8" t="s">
        <v>2581</v>
      </c>
      <c r="D2453" s="9" t="s">
        <v>8758</v>
      </c>
      <c r="E2453" s="10" t="str">
        <f>HYPERLINK("https://twitter.com/ATodoMomento_/status/1065560523226329088","1065560523226329088")</f>
        <v>1065560523226329088</v>
      </c>
      <c r="F2453" s="11" t="s">
        <v>6331</v>
      </c>
      <c r="G2453" s="12"/>
      <c r="H2453" s="12"/>
      <c r="I2453" s="13">
        <v>0</v>
      </c>
      <c r="J2453" s="13">
        <v>0</v>
      </c>
      <c r="K2453" s="14" t="str">
        <f>HYPERLINK("https://about.twitter.com/products/tweetdeck","TweetDeck")</f>
        <v>TweetDeck</v>
      </c>
      <c r="L2453" s="13">
        <v>109746</v>
      </c>
      <c r="M2453" s="13">
        <v>1587</v>
      </c>
      <c r="N2453" s="13">
        <v>575</v>
      </c>
      <c r="O2453" s="15"/>
      <c r="P2453" s="6">
        <v>41690.665486111109</v>
      </c>
      <c r="Q2453" s="17" t="s">
        <v>383</v>
      </c>
      <c r="R2453" s="18" t="s">
        <v>2582</v>
      </c>
      <c r="S2453" s="11" t="s">
        <v>2583</v>
      </c>
      <c r="T2453" s="12"/>
      <c r="U2453" s="10" t="str">
        <f>HYPERLINK("https://pbs.twimg.com/profile_images/817781707088822272/roPobZmV.jpg","View")</f>
        <v>View</v>
      </c>
    </row>
    <row r="2454" spans="1:21" ht="20.399999999999999">
      <c r="A2454" s="6">
        <v>43426.499861111108</v>
      </c>
      <c r="B2454" s="7" t="str">
        <f>HYPERLINK("https://twitter.com/chivovstambor","@chivovstambor")</f>
        <v>@chivovstambor</v>
      </c>
      <c r="C2454" s="8" t="s">
        <v>621</v>
      </c>
      <c r="D2454" s="9" t="s">
        <v>8759</v>
      </c>
      <c r="E2454" s="10" t="str">
        <f>HYPERLINK("https://twitter.com/chivovstambor/status/1065560472206880768","1065560472206880768")</f>
        <v>1065560472206880768</v>
      </c>
      <c r="F2454" s="12"/>
      <c r="G2454" s="11" t="s">
        <v>8760</v>
      </c>
      <c r="H2454" s="12"/>
      <c r="I2454" s="13">
        <v>0</v>
      </c>
      <c r="J2454" s="13">
        <v>1</v>
      </c>
      <c r="K2454" s="14" t="str">
        <f t="shared" ref="K2454:K2455" si="396">HYPERLINK("http://twitter.com","Twitter Web Client")</f>
        <v>Twitter Web Client</v>
      </c>
      <c r="L2454" s="13">
        <v>295</v>
      </c>
      <c r="M2454" s="13">
        <v>436</v>
      </c>
      <c r="N2454" s="13">
        <v>2</v>
      </c>
      <c r="O2454" s="15"/>
      <c r="P2454" s="6">
        <v>41482.865844907406</v>
      </c>
      <c r="Q2454" s="12"/>
      <c r="R2454" s="18" t="s">
        <v>8761</v>
      </c>
      <c r="S2454" s="11" t="s">
        <v>8762</v>
      </c>
      <c r="T2454" s="12"/>
      <c r="U2454" s="10" t="str">
        <f>HYPERLINK("https://pbs.twimg.com/profile_images/738501547076767745/8mbXQfNr.jpg","View")</f>
        <v>View</v>
      </c>
    </row>
    <row r="2455" spans="1:21" ht="20.399999999999999">
      <c r="A2455" s="6">
        <v>43426.499699074076</v>
      </c>
      <c r="B2455" s="7" t="str">
        <f>HYPERLINK("https://twitter.com/Alfacebook64","@Alfacebook64")</f>
        <v>@Alfacebook64</v>
      </c>
      <c r="C2455" s="8" t="s">
        <v>2017</v>
      </c>
      <c r="D2455" s="9" t="s">
        <v>8763</v>
      </c>
      <c r="E2455" s="10" t="str">
        <f>HYPERLINK("https://twitter.com/Alfacebook64/status/1065560415915180032","1065560415915180032")</f>
        <v>1065560415915180032</v>
      </c>
      <c r="F2455" s="11" t="s">
        <v>753</v>
      </c>
      <c r="G2455" s="12"/>
      <c r="H2455" s="12"/>
      <c r="I2455" s="13">
        <v>0</v>
      </c>
      <c r="J2455" s="13">
        <v>0</v>
      </c>
      <c r="K2455" s="14" t="str">
        <f t="shared" si="396"/>
        <v>Twitter Web Client</v>
      </c>
      <c r="L2455" s="13">
        <v>4225</v>
      </c>
      <c r="M2455" s="13">
        <v>3499</v>
      </c>
      <c r="N2455" s="13">
        <v>39</v>
      </c>
      <c r="O2455" s="15"/>
      <c r="P2455" s="6">
        <v>42189.951504629629</v>
      </c>
      <c r="Q2455" s="17" t="s">
        <v>2019</v>
      </c>
      <c r="R2455" s="18" t="s">
        <v>2020</v>
      </c>
      <c r="S2455" s="12"/>
      <c r="T2455" s="12"/>
      <c r="U2455" s="10" t="str">
        <f>HYPERLINK("https://pbs.twimg.com/profile_images/636562609811099648/TOG_sQjr.jpg","View")</f>
        <v>View</v>
      </c>
    </row>
    <row r="2456" spans="1:21" ht="30.6">
      <c r="A2456" s="6">
        <v>43426.499664351853</v>
      </c>
      <c r="B2456" s="7" t="str">
        <f>HYPERLINK("https://twitter.com/MARAROD32143608","@MARAROD32143608")</f>
        <v>@MARAROD32143608</v>
      </c>
      <c r="C2456" s="8" t="s">
        <v>8764</v>
      </c>
      <c r="D2456" s="9" t="s">
        <v>8765</v>
      </c>
      <c r="E2456" s="10" t="str">
        <f>HYPERLINK("https://twitter.com/MARAROD32143608/status/1065560402938011648","1065560402938011648")</f>
        <v>1065560402938011648</v>
      </c>
      <c r="F2456" s="12"/>
      <c r="G2456" s="12"/>
      <c r="H2456" s="12"/>
      <c r="I2456" s="13">
        <v>0</v>
      </c>
      <c r="J2456" s="13">
        <v>0</v>
      </c>
      <c r="K2456" s="14" t="str">
        <f>HYPERLINK("http://twitter.com/download/android","Twitter for Android")</f>
        <v>Twitter for Android</v>
      </c>
      <c r="L2456" s="13">
        <v>145</v>
      </c>
      <c r="M2456" s="13">
        <v>201</v>
      </c>
      <c r="N2456" s="13">
        <v>0</v>
      </c>
      <c r="O2456" s="15"/>
      <c r="P2456" s="6">
        <v>42549.46670138889</v>
      </c>
      <c r="Q2456" s="12"/>
      <c r="R2456" s="19"/>
      <c r="S2456" s="12"/>
      <c r="T2456" s="12"/>
      <c r="U2456" s="10" t="str">
        <f>HYPERLINK("https://pbs.twimg.com/profile_images/962852970416279552/3Asxr0An.jpg","View")</f>
        <v>View</v>
      </c>
    </row>
    <row r="2457" spans="1:21" ht="40.799999999999997">
      <c r="A2457" s="6">
        <v>43426.498981481476</v>
      </c>
      <c r="B2457" s="7" t="str">
        <f>HYPERLINK("https://twitter.com/mamisebastiana","@mamisebastiana")</f>
        <v>@mamisebastiana</v>
      </c>
      <c r="C2457" s="8" t="s">
        <v>1876</v>
      </c>
      <c r="D2457" s="9" t="s">
        <v>8766</v>
      </c>
      <c r="E2457" s="10" t="str">
        <f>HYPERLINK("https://twitter.com/mamisebastiana/status/1065560151963443201","1065560151963443201")</f>
        <v>1065560151963443201</v>
      </c>
      <c r="F2457" s="11" t="s">
        <v>4378</v>
      </c>
      <c r="G2457" s="12"/>
      <c r="H2457" s="12"/>
      <c r="I2457" s="13">
        <v>0</v>
      </c>
      <c r="J2457" s="13">
        <v>0</v>
      </c>
      <c r="K2457" s="14" t="str">
        <f>HYPERLINK("http://www.facebook.com/twitter","Facebook")</f>
        <v>Facebook</v>
      </c>
      <c r="L2457" s="13">
        <v>3526</v>
      </c>
      <c r="M2457" s="13">
        <v>1577</v>
      </c>
      <c r="N2457" s="13">
        <v>81</v>
      </c>
      <c r="O2457" s="15"/>
      <c r="P2457" s="6">
        <v>40292.516817129632</v>
      </c>
      <c r="Q2457" s="17" t="s">
        <v>40</v>
      </c>
      <c r="R2457" s="18" t="s">
        <v>1879</v>
      </c>
      <c r="S2457" s="11" t="s">
        <v>1880</v>
      </c>
      <c r="T2457" s="12"/>
      <c r="U2457" s="10" t="str">
        <f>HYPERLINK("https://pbs.twimg.com/profile_images/1041822981486301184/6R6YdzqJ.jpg","View")</f>
        <v>View</v>
      </c>
    </row>
    <row r="2458" spans="1:21" ht="40.799999999999997">
      <c r="A2458" s="6">
        <v>43426.498969907407</v>
      </c>
      <c r="B2458" s="7" t="str">
        <f>HYPERLINK("https://twitter.com/Julianvirome","@Julianvirome")</f>
        <v>@Julianvirome</v>
      </c>
      <c r="C2458" s="8" t="s">
        <v>5114</v>
      </c>
      <c r="D2458" s="9" t="s">
        <v>8767</v>
      </c>
      <c r="E2458" s="10" t="str">
        <f>HYPERLINK("https://twitter.com/Julianvirome/status/1065560151686635520","1065560151686635520")</f>
        <v>1065560151686635520</v>
      </c>
      <c r="F2458" s="12"/>
      <c r="G2458" s="11" t="s">
        <v>8768</v>
      </c>
      <c r="H2458" s="12"/>
      <c r="I2458" s="13">
        <v>0</v>
      </c>
      <c r="J2458" s="13">
        <v>0</v>
      </c>
      <c r="K2458" s="14" t="str">
        <f t="shared" ref="K2458:K2460" si="397">HYPERLINK("http://twitter.com/download/android","Twitter for Android")</f>
        <v>Twitter for Android</v>
      </c>
      <c r="L2458" s="13">
        <v>2634</v>
      </c>
      <c r="M2458" s="13">
        <v>4992</v>
      </c>
      <c r="N2458" s="13">
        <v>23</v>
      </c>
      <c r="O2458" s="15"/>
      <c r="P2458" s="6">
        <v>40630.875810185185</v>
      </c>
      <c r="Q2458" s="17" t="s">
        <v>72</v>
      </c>
      <c r="R2458" s="18" t="s">
        <v>5116</v>
      </c>
      <c r="S2458" s="12"/>
      <c r="T2458" s="12"/>
      <c r="U2458" s="10" t="str">
        <f>HYPERLINK("https://pbs.twimg.com/profile_images/1015475281803530241/aBROVKXy.jpg","View")</f>
        <v>View</v>
      </c>
    </row>
    <row r="2459" spans="1:21" ht="51">
      <c r="A2459" s="6">
        <v>43426.498703703706</v>
      </c>
      <c r="B2459" s="7" t="str">
        <f>HYPERLINK("https://twitter.com/miguelmansell","@miguelmansell")</f>
        <v>@miguelmansell</v>
      </c>
      <c r="C2459" s="8" t="s">
        <v>8769</v>
      </c>
      <c r="D2459" s="9" t="s">
        <v>8770</v>
      </c>
      <c r="E2459" s="10" t="str">
        <f>HYPERLINK("https://twitter.com/miguelmansell/status/1065560052227088384","1065560052227088384")</f>
        <v>1065560052227088384</v>
      </c>
      <c r="F2459" s="12"/>
      <c r="G2459" s="11" t="s">
        <v>8771</v>
      </c>
      <c r="H2459" s="12"/>
      <c r="I2459" s="13">
        <v>0</v>
      </c>
      <c r="J2459" s="13">
        <v>0</v>
      </c>
      <c r="K2459" s="14" t="str">
        <f t="shared" si="397"/>
        <v>Twitter for Android</v>
      </c>
      <c r="L2459" s="13">
        <v>3637</v>
      </c>
      <c r="M2459" s="13">
        <v>4016</v>
      </c>
      <c r="N2459" s="13">
        <v>94</v>
      </c>
      <c r="O2459" s="15"/>
      <c r="P2459" s="6">
        <v>41187.827777777777</v>
      </c>
      <c r="Q2459" s="12"/>
      <c r="R2459" s="18" t="s">
        <v>8772</v>
      </c>
      <c r="S2459" s="12"/>
      <c r="T2459" s="12"/>
      <c r="U2459" s="10" t="str">
        <f>HYPERLINK("https://pbs.twimg.com/profile_images/489058087710777344/6yjIPwca.jpeg","View")</f>
        <v>View</v>
      </c>
    </row>
    <row r="2460" spans="1:21" ht="40.799999999999997">
      <c r="A2460" s="6">
        <v>43426.49790509259</v>
      </c>
      <c r="B2460" s="7" t="str">
        <f>HYPERLINK("https://twitter.com/Alvaro_Picho","@Alvaro_Picho")</f>
        <v>@Alvaro_Picho</v>
      </c>
      <c r="C2460" s="8" t="s">
        <v>8773</v>
      </c>
      <c r="D2460" s="9" t="s">
        <v>8774</v>
      </c>
      <c r="E2460" s="10" t="str">
        <f>HYPERLINK("https://twitter.com/Alvaro_Picho/status/1065559763390513152","1065559763390513152")</f>
        <v>1065559763390513152</v>
      </c>
      <c r="F2460" s="11" t="s">
        <v>556</v>
      </c>
      <c r="G2460" s="12"/>
      <c r="H2460" s="12"/>
      <c r="I2460" s="13">
        <v>0</v>
      </c>
      <c r="J2460" s="13">
        <v>0</v>
      </c>
      <c r="K2460" s="14" t="str">
        <f t="shared" si="397"/>
        <v>Twitter for Android</v>
      </c>
      <c r="L2460" s="13">
        <v>694</v>
      </c>
      <c r="M2460" s="13">
        <v>429</v>
      </c>
      <c r="N2460" s="13">
        <v>56</v>
      </c>
      <c r="O2460" s="15"/>
      <c r="P2460" s="6">
        <v>40569.801898148144</v>
      </c>
      <c r="Q2460" s="17" t="s">
        <v>2053</v>
      </c>
      <c r="R2460" s="18" t="s">
        <v>8775</v>
      </c>
      <c r="S2460" s="11" t="s">
        <v>8776</v>
      </c>
      <c r="T2460" s="12"/>
      <c r="U2460" s="10" t="str">
        <f>HYPERLINK("https://pbs.twimg.com/profile_images/915528082630610944/OUapFmHs.jpg","View")</f>
        <v>View</v>
      </c>
    </row>
    <row r="2461" spans="1:21" ht="30.6">
      <c r="A2461" s="6">
        <v>43426.497685185182</v>
      </c>
      <c r="B2461" s="7" t="str">
        <f>HYPERLINK("https://twitter.com/Ato09729637","@Ato09729637")</f>
        <v>@Ato09729637</v>
      </c>
      <c r="C2461" s="8" t="s">
        <v>8777</v>
      </c>
      <c r="D2461" s="9" t="s">
        <v>8778</v>
      </c>
      <c r="E2461" s="10" t="str">
        <f>HYPERLINK("https://twitter.com/Ato09729637/status/1065559683392577536","1065559683392577536")</f>
        <v>1065559683392577536</v>
      </c>
      <c r="F2461" s="12"/>
      <c r="G2461" s="12"/>
      <c r="H2461" s="12"/>
      <c r="I2461" s="13">
        <v>0</v>
      </c>
      <c r="J2461" s="13">
        <v>0</v>
      </c>
      <c r="K2461" s="14" t="str">
        <f>HYPERLINK("https://mobile.twitter.com","Twitter Lite")</f>
        <v>Twitter Lite</v>
      </c>
      <c r="L2461" s="13">
        <v>0</v>
      </c>
      <c r="M2461" s="13">
        <v>0</v>
      </c>
      <c r="N2461" s="13">
        <v>0</v>
      </c>
      <c r="O2461" s="15"/>
      <c r="P2461" s="6">
        <v>43426.485185185185</v>
      </c>
      <c r="Q2461" s="12"/>
      <c r="R2461" s="19"/>
      <c r="S2461" s="12"/>
      <c r="T2461" s="12"/>
      <c r="U2461" s="16" t="s">
        <v>373</v>
      </c>
    </row>
    <row r="2462" spans="1:21" ht="30.6">
      <c r="A2462" s="6">
        <v>43426.497245370367</v>
      </c>
      <c r="B2462" s="7" t="str">
        <f>HYPERLINK("https://twitter.com/web_hispanidad","@web_hispanidad")</f>
        <v>@web_hispanidad</v>
      </c>
      <c r="C2462" s="8" t="s">
        <v>8779</v>
      </c>
      <c r="D2462" s="9" t="s">
        <v>8780</v>
      </c>
      <c r="E2462" s="10" t="str">
        <f>HYPERLINK("https://twitter.com/web_hispanidad/status/1065559522993934336","1065559522993934336")</f>
        <v>1065559522993934336</v>
      </c>
      <c r="F2462" s="11" t="s">
        <v>8781</v>
      </c>
      <c r="G2462" s="12"/>
      <c r="H2462" s="12"/>
      <c r="I2462" s="13">
        <v>3</v>
      </c>
      <c r="J2462" s="13">
        <v>0</v>
      </c>
      <c r="K2462" s="14" t="str">
        <f>HYPERLINK("http://www.wearebab.com","Comitium5 BAB")</f>
        <v>Comitium5 BAB</v>
      </c>
      <c r="L2462" s="13">
        <v>7619</v>
      </c>
      <c r="M2462" s="13">
        <v>3847</v>
      </c>
      <c r="N2462" s="13">
        <v>211</v>
      </c>
      <c r="O2462" s="15"/>
      <c r="P2462" s="6">
        <v>40274.553935185184</v>
      </c>
      <c r="Q2462" s="17" t="s">
        <v>1692</v>
      </c>
      <c r="R2462" s="18" t="s">
        <v>8782</v>
      </c>
      <c r="S2462" s="11" t="s">
        <v>8783</v>
      </c>
      <c r="T2462" s="12"/>
      <c r="U2462" s="10" t="str">
        <f>HYPERLINK("https://pbs.twimg.com/profile_images/841028223/logo_H.gif","View")</f>
        <v>View</v>
      </c>
    </row>
    <row r="2463" spans="1:21" ht="30.6">
      <c r="A2463" s="6">
        <v>43426.496863425928</v>
      </c>
      <c r="B2463" s="7" t="str">
        <f>HYPERLINK("https://twitter.com/marania","@marania")</f>
        <v>@marania</v>
      </c>
      <c r="C2463" s="8" t="s">
        <v>8784</v>
      </c>
      <c r="D2463" s="9" t="s">
        <v>5475</v>
      </c>
      <c r="E2463" s="10" t="str">
        <f>HYPERLINK("https://twitter.com/marania/status/1065559388251963392","1065559388251963392")</f>
        <v>1065559388251963392</v>
      </c>
      <c r="F2463" s="11" t="s">
        <v>8785</v>
      </c>
      <c r="G2463" s="12"/>
      <c r="H2463" s="12"/>
      <c r="I2463" s="13">
        <v>0</v>
      </c>
      <c r="J2463" s="13">
        <v>0</v>
      </c>
      <c r="K2463" s="14" t="str">
        <f>HYPERLINK("http://twitter.com","Twitter Web Client")</f>
        <v>Twitter Web Client</v>
      </c>
      <c r="L2463" s="13">
        <v>1333</v>
      </c>
      <c r="M2463" s="13">
        <v>1877</v>
      </c>
      <c r="N2463" s="13">
        <v>6</v>
      </c>
      <c r="O2463" s="15"/>
      <c r="P2463" s="6">
        <v>40012.540104166663</v>
      </c>
      <c r="Q2463" s="17" t="s">
        <v>8786</v>
      </c>
      <c r="R2463" s="18" t="s">
        <v>8787</v>
      </c>
      <c r="S2463" s="12"/>
      <c r="T2463" s="12"/>
      <c r="U2463" s="10" t="str">
        <f>HYPERLINK("https://pbs.twimg.com/profile_images/1009699164580663296/lYRd-nWH.jpg","View")</f>
        <v>View</v>
      </c>
    </row>
    <row r="2464" spans="1:21" ht="20.399999999999999">
      <c r="A2464" s="6">
        <v>43426.496793981481</v>
      </c>
      <c r="B2464" s="7" t="str">
        <f>HYPERLINK("https://twitter.com/Cubanoselmundo","@Cubanoselmundo")</f>
        <v>@Cubanoselmundo</v>
      </c>
      <c r="C2464" s="8" t="s">
        <v>1897</v>
      </c>
      <c r="D2464" s="9" t="s">
        <v>8788</v>
      </c>
      <c r="E2464" s="10" t="str">
        <f>HYPERLINK("https://twitter.com/Cubanoselmundo/status/1065559362121490433","1065559362121490433")</f>
        <v>1065559362121490433</v>
      </c>
      <c r="F2464" s="11" t="s">
        <v>8789</v>
      </c>
      <c r="G2464" s="12"/>
      <c r="H2464" s="12"/>
      <c r="I2464" s="13">
        <v>0</v>
      </c>
      <c r="J2464" s="13">
        <v>0</v>
      </c>
      <c r="K2464" s="14" t="str">
        <f>HYPERLINK("https://www.google.com/","Google")</f>
        <v>Google</v>
      </c>
      <c r="L2464" s="13">
        <v>35883</v>
      </c>
      <c r="M2464" s="13">
        <v>39452</v>
      </c>
      <c r="N2464" s="13">
        <v>199</v>
      </c>
      <c r="O2464" s="15"/>
      <c r="P2464" s="6">
        <v>40061.922453703708</v>
      </c>
      <c r="Q2464" s="17" t="s">
        <v>1282</v>
      </c>
      <c r="R2464" s="18" t="s">
        <v>1900</v>
      </c>
      <c r="S2464" s="11" t="s">
        <v>1901</v>
      </c>
      <c r="T2464" s="12"/>
      <c r="U2464" s="10" t="str">
        <f>HYPERLINK("https://pbs.twimg.com/profile_images/660998381670502400/HBObLaHg.jpg","View")</f>
        <v>View</v>
      </c>
    </row>
    <row r="2465" spans="1:21" ht="20.399999999999999">
      <c r="A2465" s="6">
        <v>43426.496759259258</v>
      </c>
      <c r="B2465" s="7" t="str">
        <f>HYPERLINK("https://twitter.com/SOS_Prisiones_","@SOS_Prisiones_")</f>
        <v>@SOS_Prisiones_</v>
      </c>
      <c r="C2465" s="8" t="s">
        <v>8790</v>
      </c>
      <c r="D2465" s="9" t="s">
        <v>8791</v>
      </c>
      <c r="E2465" s="10" t="str">
        <f>HYPERLINK("https://twitter.com/SOS_Prisiones_/status/1065559346799628288","1065559346799628288")</f>
        <v>1065559346799628288</v>
      </c>
      <c r="F2465" s="12"/>
      <c r="G2465" s="11" t="s">
        <v>8792</v>
      </c>
      <c r="H2465" s="12"/>
      <c r="I2465" s="13">
        <v>36</v>
      </c>
      <c r="J2465" s="13">
        <v>31</v>
      </c>
      <c r="K2465" s="14" t="str">
        <f>HYPERLINK("http://twitter.com/download/iphone","Twitter for iPhone")</f>
        <v>Twitter for iPhone</v>
      </c>
      <c r="L2465" s="13">
        <v>597</v>
      </c>
      <c r="M2465" s="13">
        <v>199</v>
      </c>
      <c r="N2465" s="13">
        <v>6</v>
      </c>
      <c r="O2465" s="15"/>
      <c r="P2465" s="6">
        <v>43080.823437500003</v>
      </c>
      <c r="Q2465" s="17" t="s">
        <v>8793</v>
      </c>
      <c r="R2465" s="18" t="s">
        <v>8794</v>
      </c>
      <c r="S2465" s="12"/>
      <c r="T2465" s="12"/>
      <c r="U2465" s="10" t="str">
        <f>HYPERLINK("https://pbs.twimg.com/profile_images/1057358822442983425/cLkxHavI.jpg","View")</f>
        <v>View</v>
      </c>
    </row>
    <row r="2466" spans="1:21" ht="51">
      <c r="A2466" s="6">
        <v>43426.496597222227</v>
      </c>
      <c r="B2466" s="7" t="str">
        <f>HYPERLINK("https://twitter.com/elpais_espana","@elpais_espana")</f>
        <v>@elpais_espana</v>
      </c>
      <c r="C2466" s="8" t="s">
        <v>1844</v>
      </c>
      <c r="D2466" s="9" t="s">
        <v>8795</v>
      </c>
      <c r="E2466" s="10" t="str">
        <f>HYPERLINK("https://twitter.com/elpais_espana/status/1065559291422261248","1065559291422261248")</f>
        <v>1065559291422261248</v>
      </c>
      <c r="F2466" s="11" t="s">
        <v>8796</v>
      </c>
      <c r="G2466" s="12"/>
      <c r="H2466" s="12"/>
      <c r="I2466" s="13">
        <v>3</v>
      </c>
      <c r="J2466" s="13">
        <v>6</v>
      </c>
      <c r="K2466" s="14" t="str">
        <f t="shared" ref="K2466:K2467" si="398">HYPERLINK("https://www.hootsuite.com","Hootsuite Inc.")</f>
        <v>Hootsuite Inc.</v>
      </c>
      <c r="L2466" s="13">
        <v>402655</v>
      </c>
      <c r="M2466" s="13">
        <v>799</v>
      </c>
      <c r="N2466" s="13">
        <v>6324</v>
      </c>
      <c r="O2466" s="16" t="s">
        <v>26</v>
      </c>
      <c r="P2466" s="6">
        <v>40245.788946759261</v>
      </c>
      <c r="Q2466" s="17" t="s">
        <v>72</v>
      </c>
      <c r="R2466" s="18" t="s">
        <v>1847</v>
      </c>
      <c r="S2466" s="11" t="s">
        <v>1848</v>
      </c>
      <c r="T2466" s="12"/>
      <c r="U2466" s="10" t="str">
        <f>HYPERLINK("https://pbs.twimg.com/profile_images/917337394914955264/aoU6Bl-8.jpg","View")</f>
        <v>View</v>
      </c>
    </row>
    <row r="2467" spans="1:21" ht="30.6">
      <c r="A2467" s="6">
        <v>43426.496574074074</v>
      </c>
      <c r="B2467" s="7" t="str">
        <f>HYPERLINK("https://twitter.com/quediario","@quediario")</f>
        <v>@quediario</v>
      </c>
      <c r="C2467" s="8" t="s">
        <v>5893</v>
      </c>
      <c r="D2467" s="9" t="s">
        <v>8797</v>
      </c>
      <c r="E2467" s="10" t="str">
        <f>HYPERLINK("https://twitter.com/quediario/status/1065559280936513536","1065559280936513536")</f>
        <v>1065559280936513536</v>
      </c>
      <c r="F2467" s="11" t="s">
        <v>5895</v>
      </c>
      <c r="G2467" s="11" t="s">
        <v>8798</v>
      </c>
      <c r="H2467" s="12"/>
      <c r="I2467" s="13">
        <v>0</v>
      </c>
      <c r="J2467" s="13">
        <v>0</v>
      </c>
      <c r="K2467" s="14" t="str">
        <f t="shared" si="398"/>
        <v>Hootsuite Inc.</v>
      </c>
      <c r="L2467" s="13">
        <v>42149</v>
      </c>
      <c r="M2467" s="13">
        <v>19458</v>
      </c>
      <c r="N2467" s="13">
        <v>900</v>
      </c>
      <c r="O2467" s="16" t="s">
        <v>26</v>
      </c>
      <c r="P2467" s="6">
        <v>39904.468252314815</v>
      </c>
      <c r="Q2467" s="17" t="s">
        <v>1692</v>
      </c>
      <c r="R2467" s="18" t="s">
        <v>5897</v>
      </c>
      <c r="S2467" s="11" t="s">
        <v>5898</v>
      </c>
      <c r="T2467" s="12"/>
      <c r="U2467" s="10" t="str">
        <f>HYPERLINK("https://pbs.twimg.com/profile_images/921305149435465728/fPbLkA-k.jpg","View")</f>
        <v>View</v>
      </c>
    </row>
    <row r="2468" spans="1:21" ht="51">
      <c r="A2468" s="6">
        <v>43426.496562500004</v>
      </c>
      <c r="B2468" s="7" t="str">
        <f>HYPERLINK("https://twitter.com/Jaumestre","@Jaumestre")</f>
        <v>@Jaumestre</v>
      </c>
      <c r="C2468" s="8" t="s">
        <v>8589</v>
      </c>
      <c r="D2468" s="9" t="s">
        <v>8799</v>
      </c>
      <c r="E2468" s="10" t="str">
        <f>HYPERLINK("https://twitter.com/Jaumestre/status/1065559279304941568","1065559279304941568")</f>
        <v>1065559279304941568</v>
      </c>
      <c r="F2468" s="12"/>
      <c r="G2468" s="12"/>
      <c r="H2468" s="12"/>
      <c r="I2468" s="13">
        <v>0</v>
      </c>
      <c r="J2468" s="13">
        <v>0</v>
      </c>
      <c r="K2468" s="14" t="str">
        <f>HYPERLINK("http://twitter.com/download/android","Twitter for Android")</f>
        <v>Twitter for Android</v>
      </c>
      <c r="L2468" s="13">
        <v>67</v>
      </c>
      <c r="M2468" s="13">
        <v>122</v>
      </c>
      <c r="N2468" s="13">
        <v>0</v>
      </c>
      <c r="O2468" s="15"/>
      <c r="P2468" s="6">
        <v>42615.683715277773</v>
      </c>
      <c r="Q2468" s="12"/>
      <c r="R2468" s="18" t="s">
        <v>8591</v>
      </c>
      <c r="S2468" s="12"/>
      <c r="T2468" s="12"/>
      <c r="U2468" s="10" t="str">
        <f>HYPERLINK("https://pbs.twimg.com/profile_images/771724879485931520/9sJuAFby.jpg","View")</f>
        <v>View</v>
      </c>
    </row>
    <row r="2469" spans="1:21" ht="71.400000000000006">
      <c r="A2469" s="6">
        <v>43426.496365740742</v>
      </c>
      <c r="B2469" s="7" t="str">
        <f>HYPERLINK("https://twitter.com/JaviTjader","@JaviTjader")</f>
        <v>@JaviTjader</v>
      </c>
      <c r="C2469" s="8" t="s">
        <v>2171</v>
      </c>
      <c r="D2469" s="9" t="s">
        <v>8800</v>
      </c>
      <c r="E2469" s="10" t="str">
        <f>HYPERLINK("https://twitter.com/JaviTjader/status/1065559205682257921","1065559205682257921")</f>
        <v>1065559205682257921</v>
      </c>
      <c r="F2469" s="17" t="s">
        <v>8801</v>
      </c>
      <c r="G2469" s="11" t="s">
        <v>8802</v>
      </c>
      <c r="H2469" s="12"/>
      <c r="I2469" s="13">
        <v>0</v>
      </c>
      <c r="J2469" s="13">
        <v>1</v>
      </c>
      <c r="K2469" s="14" t="str">
        <f t="shared" ref="K2469:K2470" si="399">HYPERLINK("http://twitter.com","Twitter Web Client")</f>
        <v>Twitter Web Client</v>
      </c>
      <c r="L2469" s="13">
        <v>739</v>
      </c>
      <c r="M2469" s="13">
        <v>391</v>
      </c>
      <c r="N2469" s="13">
        <v>8</v>
      </c>
      <c r="O2469" s="15"/>
      <c r="P2469" s="6">
        <v>40207.008472222224</v>
      </c>
      <c r="Q2469" s="17" t="s">
        <v>1692</v>
      </c>
      <c r="R2469" s="18" t="s">
        <v>8803</v>
      </c>
      <c r="S2469" s="11" t="s">
        <v>8804</v>
      </c>
      <c r="T2469" s="12"/>
      <c r="U2469" s="10" t="str">
        <f>HYPERLINK("https://pbs.twimg.com/profile_images/1043811249967038464/1gW6jKXJ.jpg","View")</f>
        <v>View</v>
      </c>
    </row>
    <row r="2470" spans="1:21" ht="81.599999999999994">
      <c r="A2470" s="6">
        <v>43426.496203703704</v>
      </c>
      <c r="B2470" s="7" t="str">
        <f>HYPERLINK("https://twitter.com/titimen6","@titimen6")</f>
        <v>@titimen6</v>
      </c>
      <c r="C2470" s="8" t="s">
        <v>8805</v>
      </c>
      <c r="D2470" s="9" t="s">
        <v>8806</v>
      </c>
      <c r="E2470" s="10" t="str">
        <f>HYPERLINK("https://twitter.com/titimen6/status/1065559148971139072","1065559148971139072")</f>
        <v>1065559148971139072</v>
      </c>
      <c r="F2470" s="11" t="s">
        <v>8807</v>
      </c>
      <c r="G2470" s="12"/>
      <c r="H2470" s="12"/>
      <c r="I2470" s="13">
        <v>0</v>
      </c>
      <c r="J2470" s="13">
        <v>0</v>
      </c>
      <c r="K2470" s="14" t="str">
        <f t="shared" si="399"/>
        <v>Twitter Web Client</v>
      </c>
      <c r="L2470" s="13">
        <v>169</v>
      </c>
      <c r="M2470" s="13">
        <v>156</v>
      </c>
      <c r="N2470" s="13">
        <v>3</v>
      </c>
      <c r="O2470" s="15"/>
      <c r="P2470" s="6">
        <v>41557.467615740738</v>
      </c>
      <c r="Q2470" s="12"/>
      <c r="R2470" s="19"/>
      <c r="S2470" s="12"/>
      <c r="T2470" s="12"/>
      <c r="U2470" s="10" t="str">
        <f>HYPERLINK("https://pbs.twimg.com/profile_images/994694360460558337/NFeNokYq.jpg","View")</f>
        <v>View</v>
      </c>
    </row>
    <row r="2471" spans="1:21" ht="40.799999999999997">
      <c r="A2471" s="6">
        <v>43426.495578703703</v>
      </c>
      <c r="B2471" s="7" t="str">
        <f>HYPERLINK("https://twitter.com/Roberpulgas","@Roberpulgas")</f>
        <v>@Roberpulgas</v>
      </c>
      <c r="C2471" s="8" t="s">
        <v>8808</v>
      </c>
      <c r="D2471" s="9" t="s">
        <v>8809</v>
      </c>
      <c r="E2471" s="10" t="str">
        <f>HYPERLINK("https://twitter.com/Roberpulgas/status/1065558921128148992","1065558921128148992")</f>
        <v>1065558921128148992</v>
      </c>
      <c r="F2471" s="12"/>
      <c r="G2471" s="12"/>
      <c r="H2471" s="12"/>
      <c r="I2471" s="13">
        <v>0</v>
      </c>
      <c r="J2471" s="13">
        <v>0</v>
      </c>
      <c r="K2471" s="14" t="str">
        <f>HYPERLINK("http://twitter.com/download/iphone","Twitter for iPhone")</f>
        <v>Twitter for iPhone</v>
      </c>
      <c r="L2471" s="13">
        <v>499</v>
      </c>
      <c r="M2471" s="13">
        <v>298</v>
      </c>
      <c r="N2471" s="13">
        <v>5</v>
      </c>
      <c r="O2471" s="15"/>
      <c r="P2471" s="6">
        <v>40934.747465277775</v>
      </c>
      <c r="Q2471" s="17" t="s">
        <v>8810</v>
      </c>
      <c r="R2471" s="18" t="s">
        <v>8811</v>
      </c>
      <c r="S2471" s="12"/>
      <c r="T2471" s="12"/>
      <c r="U2471" s="10" t="str">
        <f>HYPERLINK("https://pbs.twimg.com/profile_images/585572018407546881/9yjCUNkY.jpg","View")</f>
        <v>View</v>
      </c>
    </row>
    <row r="2472" spans="1:21" ht="20.399999999999999">
      <c r="A2472" s="6">
        <v>43426.495324074072</v>
      </c>
      <c r="B2472" s="7" t="str">
        <f>HYPERLINK("https://twitter.com/RedFICP","@RedFICP")</f>
        <v>@RedFICP</v>
      </c>
      <c r="C2472" s="8" t="s">
        <v>8812</v>
      </c>
      <c r="D2472" s="9" t="s">
        <v>1775</v>
      </c>
      <c r="E2472" s="10" t="str">
        <f>HYPERLINK("https://twitter.com/RedFICP/status/1065558830275325958","1065558830275325958")</f>
        <v>1065558830275325958</v>
      </c>
      <c r="F2472" s="11" t="s">
        <v>1776</v>
      </c>
      <c r="G2472" s="12"/>
      <c r="H2472" s="12"/>
      <c r="I2472" s="13">
        <v>2</v>
      </c>
      <c r="J2472" s="13">
        <v>1</v>
      </c>
      <c r="K2472" s="14" t="str">
        <f t="shared" ref="K2472:K2473" si="400">HYPERLINK("http://twitter.com","Twitter Web Client")</f>
        <v>Twitter Web Client</v>
      </c>
      <c r="L2472" s="13">
        <v>398</v>
      </c>
      <c r="M2472" s="13">
        <v>473</v>
      </c>
      <c r="N2472" s="13">
        <v>30</v>
      </c>
      <c r="O2472" s="15"/>
      <c r="P2472" s="6">
        <v>42366.766516203701</v>
      </c>
      <c r="Q2472" s="12"/>
      <c r="R2472" s="18" t="s">
        <v>8813</v>
      </c>
      <c r="S2472" s="12"/>
      <c r="T2472" s="12"/>
      <c r="U2472" s="10" t="str">
        <f>HYPERLINK("https://pbs.twimg.com/profile_images/681526871557812224/TEYB5tou.png","View")</f>
        <v>View</v>
      </c>
    </row>
    <row r="2473" spans="1:21" ht="20.399999999999999">
      <c r="A2473" s="6">
        <v>43426.493506944447</v>
      </c>
      <c r="B2473" s="7" t="str">
        <f>HYPERLINK("https://twitter.com/zoteiro","@zoteiro")</f>
        <v>@zoteiro</v>
      </c>
      <c r="C2473" s="8" t="s">
        <v>1558</v>
      </c>
      <c r="D2473" s="9" t="s">
        <v>8814</v>
      </c>
      <c r="E2473" s="10" t="str">
        <f>HYPERLINK("https://twitter.com/zoteiro/status/1065558171404636161","1065558171404636161")</f>
        <v>1065558171404636161</v>
      </c>
      <c r="F2473" s="12"/>
      <c r="G2473" s="12"/>
      <c r="H2473" s="12"/>
      <c r="I2473" s="13">
        <v>1</v>
      </c>
      <c r="J2473" s="13">
        <v>0</v>
      </c>
      <c r="K2473" s="14" t="str">
        <f t="shared" si="400"/>
        <v>Twitter Web Client</v>
      </c>
      <c r="L2473" s="13">
        <v>667</v>
      </c>
      <c r="M2473" s="13">
        <v>654</v>
      </c>
      <c r="N2473" s="13">
        <v>0</v>
      </c>
      <c r="O2473" s="15"/>
      <c r="P2473" s="6">
        <v>42908.642314814817</v>
      </c>
      <c r="Q2473" s="12"/>
      <c r="R2473" s="19"/>
      <c r="S2473" s="12"/>
      <c r="T2473" s="12"/>
      <c r="U2473" s="10" t="str">
        <f>HYPERLINK("https://pbs.twimg.com/profile_images/1011270132306497537/fLkXfy33.jpg","View")</f>
        <v>View</v>
      </c>
    </row>
    <row r="2474" spans="1:21" ht="40.799999999999997">
      <c r="A2474" s="6">
        <v>43426.493472222224</v>
      </c>
      <c r="B2474" s="7" t="str">
        <f>HYPERLINK("https://twitter.com/tio_chabo","@tio_chabo")</f>
        <v>@tio_chabo</v>
      </c>
      <c r="C2474" s="8" t="s">
        <v>249</v>
      </c>
      <c r="D2474" s="9" t="s">
        <v>4818</v>
      </c>
      <c r="E2474" s="10" t="str">
        <f>HYPERLINK("https://twitter.com/tio_chabo/status/1065558157597057024","1065558157597057024")</f>
        <v>1065558157597057024</v>
      </c>
      <c r="F2474" s="11" t="s">
        <v>8815</v>
      </c>
      <c r="G2474" s="12"/>
      <c r="H2474" s="12"/>
      <c r="I2474" s="13">
        <v>0</v>
      </c>
      <c r="J2474" s="13">
        <v>0</v>
      </c>
      <c r="K2474" s="14" t="str">
        <f>HYPERLINK("https://ifttt.com","IFTTT")</f>
        <v>IFTTT</v>
      </c>
      <c r="L2474" s="13">
        <v>3113</v>
      </c>
      <c r="M2474" s="13">
        <v>3718</v>
      </c>
      <c r="N2474" s="13">
        <v>68</v>
      </c>
      <c r="O2474" s="15"/>
      <c r="P2474" s="6">
        <v>40964.769629629627</v>
      </c>
      <c r="Q2474" s="17" t="s">
        <v>252</v>
      </c>
      <c r="R2474" s="18" t="s">
        <v>253</v>
      </c>
      <c r="S2474" s="11" t="s">
        <v>254</v>
      </c>
      <c r="T2474" s="12"/>
      <c r="U2474" s="10" t="str">
        <f>HYPERLINK("https://pbs.twimg.com/profile_images/837040061870833666/XUkKbbB4.jpg","View")</f>
        <v>View</v>
      </c>
    </row>
    <row r="2475" spans="1:21" ht="40.799999999999997">
      <c r="A2475" s="6">
        <v>43426.493148148147</v>
      </c>
      <c r="B2475" s="7" t="str">
        <f>HYPERLINK("https://twitter.com/lextresabogados","@lextresabogados")</f>
        <v>@lextresabogados</v>
      </c>
      <c r="C2475" s="8" t="s">
        <v>807</v>
      </c>
      <c r="D2475" s="9" t="s">
        <v>8816</v>
      </c>
      <c r="E2475" s="10" t="str">
        <f>HYPERLINK("https://twitter.com/lextresabogados/status/1065558037904220160","1065558037904220160")</f>
        <v>1065558037904220160</v>
      </c>
      <c r="F2475" s="11" t="s">
        <v>8817</v>
      </c>
      <c r="G2475" s="12"/>
      <c r="H2475" s="12"/>
      <c r="I2475" s="13">
        <v>0</v>
      </c>
      <c r="J2475" s="13">
        <v>0</v>
      </c>
      <c r="K2475" s="14" t="str">
        <f>HYPERLINK("http://35.180.36.179","botize nueva")</f>
        <v>botize nueva</v>
      </c>
      <c r="L2475" s="13">
        <v>2229</v>
      </c>
      <c r="M2475" s="13">
        <v>3277</v>
      </c>
      <c r="N2475" s="13">
        <v>22</v>
      </c>
      <c r="O2475" s="15"/>
      <c r="P2475" s="6">
        <v>42880.770949074074</v>
      </c>
      <c r="Q2475" s="17" t="s">
        <v>810</v>
      </c>
      <c r="R2475" s="18" t="s">
        <v>811</v>
      </c>
      <c r="S2475" s="11" t="s">
        <v>812</v>
      </c>
      <c r="T2475" s="12"/>
      <c r="U2475" s="10" t="str">
        <f>HYPERLINK("https://pbs.twimg.com/profile_images/1058352229546164224/xnNCczNu.jpg","View")</f>
        <v>View</v>
      </c>
    </row>
    <row r="2476" spans="1:21" ht="20.399999999999999">
      <c r="A2476" s="6">
        <v>43426.492384259254</v>
      </c>
      <c r="B2476" s="7" t="str">
        <f>HYPERLINK("https://twitter.com/JorgeBotos1","@JorgeBotos1")</f>
        <v>@JorgeBotos1</v>
      </c>
      <c r="C2476" s="8" t="s">
        <v>8818</v>
      </c>
      <c r="D2476" s="9" t="s">
        <v>8819</v>
      </c>
      <c r="E2476" s="10" t="str">
        <f>HYPERLINK("https://twitter.com/JorgeBotos1/status/1065557761327579137","1065557761327579137")</f>
        <v>1065557761327579137</v>
      </c>
      <c r="F2476" s="12"/>
      <c r="G2476" s="12"/>
      <c r="H2476" s="12"/>
      <c r="I2476" s="13">
        <v>0</v>
      </c>
      <c r="J2476" s="13">
        <v>0</v>
      </c>
      <c r="K2476" s="14" t="str">
        <f>HYPERLINK("https://www.fitmore.es/bernabot","Bernabbot")</f>
        <v>Bernabbot</v>
      </c>
      <c r="L2476" s="13">
        <v>21</v>
      </c>
      <c r="M2476" s="13">
        <v>0</v>
      </c>
      <c r="N2476" s="13">
        <v>0</v>
      </c>
      <c r="O2476" s="15"/>
      <c r="P2476" s="6">
        <v>42261.393738425926</v>
      </c>
      <c r="Q2476" s="12"/>
      <c r="R2476" s="19"/>
      <c r="S2476" s="12"/>
      <c r="T2476" s="12"/>
      <c r="U2476" s="10" t="str">
        <f>HYPERLINK("https://pbs.twimg.com/profile_images/1065556972932657152/Bbebrk6R.jpg","View")</f>
        <v>View</v>
      </c>
    </row>
    <row r="2477" spans="1:21" ht="51">
      <c r="A2477" s="6">
        <v>43426.492361111115</v>
      </c>
      <c r="B2477" s="7" t="str">
        <f>HYPERLINK("https://twitter.com/yosoynaranjito_","@yosoynaranjito_")</f>
        <v>@yosoynaranjito_</v>
      </c>
      <c r="C2477" s="8" t="s">
        <v>8820</v>
      </c>
      <c r="D2477" s="9" t="s">
        <v>8821</v>
      </c>
      <c r="E2477" s="10" t="str">
        <f>HYPERLINK("https://twitter.com/yosoynaranjito_/status/1065557756407660544","1065557756407660544")</f>
        <v>1065557756407660544</v>
      </c>
      <c r="F2477" s="12"/>
      <c r="G2477" s="11" t="s">
        <v>6680</v>
      </c>
      <c r="H2477" s="12"/>
      <c r="I2477" s="13">
        <v>70</v>
      </c>
      <c r="J2477" s="13">
        <v>84</v>
      </c>
      <c r="K2477" s="14" t="str">
        <f>HYPERLINK("http://twitter.com/download/iphone","Twitter for iPhone")</f>
        <v>Twitter for iPhone</v>
      </c>
      <c r="L2477" s="13">
        <v>22149</v>
      </c>
      <c r="M2477" s="13">
        <v>20131</v>
      </c>
      <c r="N2477" s="13">
        <v>133</v>
      </c>
      <c r="O2477" s="15"/>
      <c r="P2477" s="6">
        <v>42301.704398148147</v>
      </c>
      <c r="Q2477" s="17" t="s">
        <v>6152</v>
      </c>
      <c r="R2477" s="18" t="s">
        <v>8822</v>
      </c>
      <c r="S2477" s="11" t="s">
        <v>8823</v>
      </c>
      <c r="T2477" s="12"/>
      <c r="U2477" s="10" t="str">
        <f>HYPERLINK("https://pbs.twimg.com/profile_images/1064258315931258881/2mY8b8BQ.jpg","View")</f>
        <v>View</v>
      </c>
    </row>
    <row r="2478" spans="1:21" ht="13.2">
      <c r="A2478" s="22"/>
      <c r="B2478" s="23"/>
      <c r="C2478" s="23"/>
      <c r="D2478" s="25"/>
      <c r="E2478" s="15"/>
      <c r="F2478" s="12"/>
      <c r="G2478" s="12"/>
      <c r="H2478" s="12"/>
      <c r="I2478" s="15"/>
      <c r="J2478" s="15"/>
      <c r="K2478" s="12"/>
      <c r="L2478" s="15"/>
      <c r="M2478" s="15"/>
      <c r="N2478" s="15"/>
      <c r="O2478" s="15"/>
      <c r="P2478" s="22"/>
      <c r="Q2478" s="12"/>
      <c r="R2478" s="19"/>
      <c r="S2478" s="12"/>
      <c r="T2478" s="12"/>
      <c r="U2478" s="15"/>
    </row>
    <row r="2479" spans="1:21" ht="13.2">
      <c r="A2479" s="26"/>
      <c r="B2479" s="23"/>
      <c r="C2479" s="23"/>
      <c r="D2479" s="25"/>
      <c r="E2479" s="15"/>
      <c r="F2479" s="15"/>
      <c r="G2479" s="15"/>
      <c r="H2479" s="15"/>
      <c r="I2479" s="15"/>
      <c r="J2479" s="15"/>
      <c r="K2479" s="15"/>
      <c r="L2479" s="15"/>
      <c r="M2479" s="15"/>
      <c r="N2479" s="15"/>
      <c r="O2479" s="15"/>
      <c r="P2479" s="15"/>
      <c r="Q2479" s="12"/>
      <c r="R2479" s="19"/>
      <c r="S2479" s="15"/>
      <c r="T2479" s="15"/>
      <c r="U2479" s="15"/>
    </row>
    <row r="2480" spans="1:21" ht="13.2">
      <c r="A2480" s="26"/>
      <c r="B2480" s="23"/>
      <c r="C2480" s="23"/>
      <c r="D2480" s="25"/>
      <c r="E2480" s="15"/>
      <c r="F2480" s="15"/>
      <c r="G2480" s="15"/>
      <c r="H2480" s="15"/>
      <c r="I2480" s="15"/>
      <c r="J2480" s="15"/>
      <c r="K2480" s="15"/>
      <c r="L2480" s="15"/>
      <c r="M2480" s="15"/>
      <c r="N2480" s="15"/>
      <c r="O2480" s="15"/>
      <c r="P2480" s="15"/>
      <c r="Q2480" s="12"/>
      <c r="R2480" s="19"/>
      <c r="S2480" s="15"/>
      <c r="T2480" s="15"/>
      <c r="U2480" s="15"/>
    </row>
    <row r="2481" spans="1:21" ht="13.2">
      <c r="A2481" s="26"/>
      <c r="B2481" s="23"/>
      <c r="C2481" s="23"/>
      <c r="D2481" s="25"/>
      <c r="E2481" s="15"/>
      <c r="F2481" s="15"/>
      <c r="G2481" s="15"/>
      <c r="H2481" s="15"/>
      <c r="I2481" s="15"/>
      <c r="J2481" s="15"/>
      <c r="K2481" s="15"/>
      <c r="L2481" s="15"/>
      <c r="M2481" s="15"/>
      <c r="N2481" s="15"/>
      <c r="O2481" s="15"/>
      <c r="P2481" s="15"/>
      <c r="Q2481" s="12"/>
      <c r="R2481" s="19"/>
      <c r="S2481" s="15"/>
      <c r="T2481" s="15"/>
      <c r="U2481" s="15"/>
    </row>
    <row r="2482" spans="1:21" ht="13.2">
      <c r="A2482" s="26"/>
      <c r="B2482" s="23"/>
      <c r="C2482" s="23"/>
      <c r="D2482" s="25"/>
      <c r="E2482" s="15"/>
      <c r="F2482" s="15"/>
      <c r="G2482" s="15"/>
      <c r="H2482" s="15"/>
      <c r="I2482" s="15"/>
      <c r="J2482" s="15"/>
      <c r="K2482" s="15"/>
      <c r="L2482" s="15"/>
      <c r="M2482" s="15"/>
      <c r="N2482" s="15"/>
      <c r="O2482" s="15"/>
      <c r="P2482" s="15"/>
      <c r="Q2482" s="12"/>
      <c r="R2482" s="19"/>
      <c r="S2482" s="15"/>
      <c r="T2482" s="15"/>
      <c r="U2482" s="15"/>
    </row>
    <row r="2483" spans="1:21" ht="13.2">
      <c r="A2483" s="26"/>
      <c r="B2483" s="23"/>
      <c r="C2483" s="23"/>
      <c r="D2483" s="25"/>
      <c r="E2483" s="15"/>
      <c r="F2483" s="15"/>
      <c r="G2483" s="15"/>
      <c r="H2483" s="15"/>
      <c r="I2483" s="15"/>
      <c r="J2483" s="15"/>
      <c r="K2483" s="15"/>
      <c r="L2483" s="15"/>
      <c r="M2483" s="15"/>
      <c r="N2483" s="15"/>
      <c r="O2483" s="15"/>
      <c r="P2483" s="15"/>
      <c r="Q2483" s="12"/>
      <c r="R2483" s="19"/>
      <c r="S2483" s="15"/>
      <c r="T2483" s="15"/>
      <c r="U2483" s="15"/>
    </row>
    <row r="2484" spans="1:21" ht="13.2">
      <c r="A2484" s="26"/>
      <c r="B2484" s="23"/>
      <c r="C2484" s="23"/>
      <c r="D2484" s="25"/>
      <c r="E2484" s="15"/>
      <c r="F2484" s="15"/>
      <c r="G2484" s="15"/>
      <c r="H2484" s="15"/>
      <c r="I2484" s="15"/>
      <c r="J2484" s="15"/>
      <c r="K2484" s="15"/>
      <c r="L2484" s="15"/>
      <c r="M2484" s="15"/>
      <c r="N2484" s="15"/>
      <c r="O2484" s="15"/>
      <c r="P2484" s="15"/>
      <c r="Q2484" s="12"/>
      <c r="R2484" s="19"/>
      <c r="S2484" s="15"/>
      <c r="T2484" s="15"/>
      <c r="U2484" s="15"/>
    </row>
    <row r="2485" spans="1:21" ht="13.2">
      <c r="A2485" s="16"/>
      <c r="B2485" s="23"/>
      <c r="C2485" s="23"/>
      <c r="D2485" s="25"/>
      <c r="E2485" s="15"/>
      <c r="F2485" s="15"/>
      <c r="G2485" s="15"/>
      <c r="H2485" s="15"/>
      <c r="I2485" s="15"/>
      <c r="J2485" s="15"/>
      <c r="K2485" s="15"/>
      <c r="L2485" s="15"/>
      <c r="M2485" s="15"/>
      <c r="N2485" s="15"/>
      <c r="O2485" s="15"/>
      <c r="P2485" s="15"/>
      <c r="Q2485" s="12"/>
      <c r="R2485" s="19"/>
      <c r="S2485" s="15"/>
      <c r="T2485" s="15"/>
      <c r="U2485" s="15"/>
    </row>
    <row r="2486" spans="1:21" ht="13.2">
      <c r="A2486" s="26"/>
      <c r="B2486" s="23"/>
      <c r="C2486" s="23"/>
      <c r="D2486" s="25"/>
      <c r="E2486" s="15"/>
      <c r="F2486" s="15"/>
      <c r="G2486" s="15"/>
      <c r="H2486" s="15"/>
      <c r="I2486" s="15"/>
      <c r="J2486" s="15"/>
      <c r="K2486" s="15"/>
      <c r="L2486" s="15"/>
      <c r="M2486" s="15"/>
      <c r="N2486" s="15"/>
      <c r="O2486" s="15"/>
      <c r="P2486" s="15"/>
      <c r="Q2486" s="12"/>
      <c r="R2486" s="19"/>
      <c r="S2486" s="15"/>
      <c r="T2486" s="15"/>
      <c r="U2486" s="15"/>
    </row>
    <row r="2487" spans="1:21" ht="13.2">
      <c r="A2487" s="26"/>
      <c r="B2487" s="23"/>
      <c r="C2487" s="23"/>
      <c r="D2487" s="25"/>
      <c r="E2487" s="15"/>
      <c r="F2487" s="15"/>
      <c r="G2487" s="15"/>
      <c r="H2487" s="15"/>
      <c r="I2487" s="15"/>
      <c r="J2487" s="15"/>
      <c r="K2487" s="15"/>
      <c r="L2487" s="15"/>
      <c r="M2487" s="15"/>
      <c r="N2487" s="15"/>
      <c r="O2487" s="15"/>
      <c r="P2487" s="15"/>
      <c r="Q2487" s="12"/>
      <c r="R2487" s="19"/>
      <c r="S2487" s="15"/>
      <c r="T2487" s="15"/>
      <c r="U2487" s="15"/>
    </row>
    <row r="2488" spans="1:21" ht="13.2">
      <c r="A2488" s="26"/>
      <c r="B2488" s="23"/>
      <c r="C2488" s="23"/>
      <c r="D2488" s="25"/>
      <c r="E2488" s="15"/>
      <c r="F2488" s="15"/>
      <c r="G2488" s="15"/>
      <c r="H2488" s="15"/>
      <c r="I2488" s="15"/>
      <c r="J2488" s="15"/>
      <c r="K2488" s="15"/>
      <c r="L2488" s="15"/>
      <c r="M2488" s="15"/>
      <c r="N2488" s="15"/>
      <c r="O2488" s="15"/>
      <c r="P2488" s="15"/>
      <c r="Q2488" s="12"/>
      <c r="R2488" s="19"/>
      <c r="S2488" s="15"/>
      <c r="T2488" s="15"/>
      <c r="U2488" s="15"/>
    </row>
    <row r="2489" spans="1:21" ht="13.2">
      <c r="A2489" s="26"/>
      <c r="B2489" s="23"/>
      <c r="C2489" s="23"/>
      <c r="D2489" s="25"/>
      <c r="E2489" s="15"/>
      <c r="F2489" s="15"/>
      <c r="G2489" s="15"/>
      <c r="H2489" s="15"/>
      <c r="I2489" s="15"/>
      <c r="J2489" s="15"/>
      <c r="K2489" s="15"/>
      <c r="L2489" s="15"/>
      <c r="M2489" s="15"/>
      <c r="N2489" s="15"/>
      <c r="O2489" s="15"/>
      <c r="P2489" s="15"/>
      <c r="Q2489" s="12"/>
      <c r="R2489" s="19"/>
      <c r="S2489" s="15"/>
      <c r="T2489" s="15"/>
      <c r="U2489" s="15"/>
    </row>
    <row r="2490" spans="1:21" ht="13.2">
      <c r="A2490" s="26"/>
      <c r="B2490" s="23"/>
      <c r="C2490" s="23"/>
      <c r="D2490" s="25"/>
      <c r="E2490" s="15"/>
      <c r="F2490" s="15"/>
      <c r="G2490" s="15"/>
      <c r="H2490" s="15"/>
      <c r="I2490" s="15"/>
      <c r="J2490" s="15"/>
      <c r="K2490" s="15"/>
      <c r="L2490" s="15"/>
      <c r="M2490" s="15"/>
      <c r="N2490" s="15"/>
      <c r="O2490" s="15"/>
      <c r="P2490" s="15"/>
      <c r="Q2490" s="12"/>
      <c r="R2490" s="19"/>
      <c r="S2490" s="15"/>
      <c r="T2490" s="15"/>
      <c r="U2490" s="15"/>
    </row>
    <row r="2491" spans="1:21" ht="13.2">
      <c r="A2491" s="26"/>
      <c r="B2491" s="23"/>
      <c r="C2491" s="23"/>
      <c r="D2491" s="25"/>
      <c r="E2491" s="15"/>
      <c r="F2491" s="15"/>
      <c r="G2491" s="15"/>
      <c r="H2491" s="15"/>
      <c r="I2491" s="15"/>
      <c r="J2491" s="15"/>
      <c r="K2491" s="15"/>
      <c r="L2491" s="15"/>
      <c r="M2491" s="15"/>
      <c r="N2491" s="15"/>
      <c r="O2491" s="15"/>
      <c r="P2491" s="15"/>
      <c r="Q2491" s="12"/>
      <c r="R2491" s="19"/>
      <c r="S2491" s="15"/>
      <c r="T2491" s="15"/>
      <c r="U2491" s="15"/>
    </row>
    <row r="2492" spans="1:21" ht="13.2">
      <c r="A2492" s="26"/>
      <c r="B2492" s="23"/>
      <c r="C2492" s="23"/>
      <c r="D2492" s="25"/>
      <c r="E2492" s="15"/>
      <c r="F2492" s="15"/>
      <c r="G2492" s="15"/>
      <c r="H2492" s="15"/>
      <c r="I2492" s="15"/>
      <c r="J2492" s="15"/>
      <c r="K2492" s="15"/>
      <c r="L2492" s="15"/>
      <c r="M2492" s="15"/>
      <c r="N2492" s="15"/>
      <c r="O2492" s="15"/>
      <c r="P2492" s="15"/>
      <c r="Q2492" s="12"/>
      <c r="R2492" s="19"/>
      <c r="S2492" s="15"/>
      <c r="T2492" s="15"/>
      <c r="U2492" s="15"/>
    </row>
    <row r="2493" spans="1:21" ht="13.2">
      <c r="A2493" s="26"/>
      <c r="B2493" s="23"/>
      <c r="C2493" s="23"/>
      <c r="D2493" s="25"/>
      <c r="E2493" s="15"/>
      <c r="F2493" s="15"/>
      <c r="G2493" s="15"/>
      <c r="H2493" s="15"/>
      <c r="I2493" s="15"/>
      <c r="J2493" s="15"/>
      <c r="K2493" s="15"/>
      <c r="L2493" s="15"/>
      <c r="M2493" s="15"/>
      <c r="N2493" s="15"/>
      <c r="O2493" s="15"/>
      <c r="P2493" s="15"/>
      <c r="Q2493" s="12"/>
      <c r="R2493" s="19"/>
      <c r="S2493" s="15"/>
      <c r="T2493" s="15"/>
      <c r="U2493" s="15"/>
    </row>
    <row r="2494" spans="1:21" ht="13.2">
      <c r="A2494" s="26"/>
      <c r="B2494" s="23"/>
      <c r="C2494" s="23"/>
      <c r="D2494" s="25"/>
      <c r="E2494" s="15"/>
      <c r="F2494" s="15"/>
      <c r="G2494" s="15"/>
      <c r="H2494" s="15"/>
      <c r="I2494" s="15"/>
      <c r="J2494" s="15"/>
      <c r="K2494" s="15"/>
      <c r="L2494" s="15"/>
      <c r="M2494" s="15"/>
      <c r="N2494" s="15"/>
      <c r="O2494" s="15"/>
      <c r="P2494" s="15"/>
      <c r="Q2494" s="12"/>
      <c r="R2494" s="19"/>
      <c r="S2494" s="15"/>
      <c r="T2494" s="15"/>
      <c r="U2494" s="15"/>
    </row>
    <row r="2495" spans="1:21" ht="13.2">
      <c r="A2495" s="26"/>
      <c r="B2495" s="23"/>
      <c r="C2495" s="23"/>
      <c r="D2495" s="25"/>
      <c r="E2495" s="15"/>
      <c r="F2495" s="15"/>
      <c r="G2495" s="15"/>
      <c r="H2495" s="15"/>
      <c r="I2495" s="15"/>
      <c r="J2495" s="15"/>
      <c r="K2495" s="15"/>
      <c r="L2495" s="15"/>
      <c r="M2495" s="15"/>
      <c r="N2495" s="15"/>
      <c r="O2495" s="15"/>
      <c r="P2495" s="15"/>
      <c r="Q2495" s="12"/>
      <c r="R2495" s="19"/>
      <c r="S2495" s="15"/>
      <c r="T2495" s="15"/>
      <c r="U2495" s="15"/>
    </row>
    <row r="2496" spans="1:21" ht="13.2">
      <c r="A2496" s="26"/>
      <c r="B2496" s="23"/>
      <c r="C2496" s="23"/>
      <c r="D2496" s="25"/>
      <c r="E2496" s="15"/>
      <c r="F2496" s="15"/>
      <c r="G2496" s="15"/>
      <c r="H2496" s="15"/>
      <c r="I2496" s="15"/>
      <c r="J2496" s="15"/>
      <c r="K2496" s="15"/>
      <c r="L2496" s="15"/>
      <c r="M2496" s="15"/>
      <c r="N2496" s="15"/>
      <c r="O2496" s="15"/>
      <c r="P2496" s="15"/>
      <c r="Q2496" s="12"/>
      <c r="R2496" s="19"/>
      <c r="S2496" s="15"/>
      <c r="T2496" s="15"/>
      <c r="U2496" s="15"/>
    </row>
    <row r="2497" spans="1:21" ht="13.2">
      <c r="A2497" s="26"/>
      <c r="B2497" s="23"/>
      <c r="C2497" s="23"/>
      <c r="D2497" s="25"/>
      <c r="E2497" s="15"/>
      <c r="F2497" s="15"/>
      <c r="G2497" s="15"/>
      <c r="H2497" s="15"/>
      <c r="I2497" s="15"/>
      <c r="J2497" s="15"/>
      <c r="K2497" s="15"/>
      <c r="L2497" s="15"/>
      <c r="M2497" s="15"/>
      <c r="N2497" s="15"/>
      <c r="O2497" s="15"/>
      <c r="P2497" s="15"/>
      <c r="Q2497" s="12"/>
      <c r="R2497" s="19"/>
      <c r="S2497" s="15"/>
      <c r="T2497" s="15"/>
      <c r="U2497" s="15"/>
    </row>
    <row r="2498" spans="1:21" ht="13.2">
      <c r="A2498" s="26"/>
      <c r="B2498" s="23"/>
      <c r="C2498" s="23"/>
      <c r="D2498" s="25"/>
      <c r="E2498" s="15"/>
      <c r="F2498" s="15"/>
      <c r="G2498" s="15"/>
      <c r="H2498" s="15"/>
      <c r="I2498" s="15"/>
      <c r="J2498" s="15"/>
      <c r="K2498" s="15"/>
      <c r="L2498" s="15"/>
      <c r="M2498" s="15"/>
      <c r="N2498" s="15"/>
      <c r="O2498" s="15"/>
      <c r="P2498" s="15"/>
      <c r="Q2498" s="12"/>
      <c r="R2498" s="19"/>
      <c r="S2498" s="15"/>
      <c r="T2498" s="15"/>
      <c r="U2498" s="15"/>
    </row>
    <row r="2499" spans="1:21" ht="13.2">
      <c r="A2499" s="26"/>
      <c r="B2499" s="23"/>
      <c r="C2499" s="23"/>
      <c r="D2499" s="25"/>
      <c r="E2499" s="15"/>
      <c r="F2499" s="15"/>
      <c r="G2499" s="15"/>
      <c r="H2499" s="15"/>
      <c r="I2499" s="15"/>
      <c r="J2499" s="15"/>
      <c r="K2499" s="15"/>
      <c r="L2499" s="15"/>
      <c r="M2499" s="15"/>
      <c r="N2499" s="15"/>
      <c r="O2499" s="15"/>
      <c r="P2499" s="15"/>
      <c r="Q2499" s="12"/>
      <c r="R2499" s="19"/>
      <c r="S2499" s="15"/>
      <c r="T2499" s="15"/>
      <c r="U2499" s="15"/>
    </row>
    <row r="2500" spans="1:21" ht="13.2">
      <c r="A2500" s="26"/>
      <c r="B2500" s="23"/>
      <c r="C2500" s="23"/>
      <c r="D2500" s="25"/>
      <c r="E2500" s="15"/>
      <c r="F2500" s="15"/>
      <c r="G2500" s="15"/>
      <c r="H2500" s="15"/>
      <c r="I2500" s="15"/>
      <c r="J2500" s="15"/>
      <c r="K2500" s="15"/>
      <c r="L2500" s="15"/>
      <c r="M2500" s="15"/>
      <c r="N2500" s="15"/>
      <c r="O2500" s="15"/>
      <c r="P2500" s="15"/>
      <c r="Q2500" s="12"/>
      <c r="R2500" s="19"/>
      <c r="S2500" s="15"/>
      <c r="T2500" s="15"/>
      <c r="U2500" s="15"/>
    </row>
  </sheetData>
  <mergeCells count="2">
    <mergeCell ref="A1:K1"/>
    <mergeCell ref="L1:U1"/>
  </mergeCells>
  <hyperlinks>
    <hyperlink ref="F3" r:id="rId1" xr:uid="{00000000-0004-0000-0200-000000000000}"/>
    <hyperlink ref="G3" r:id="rId2" xr:uid="{00000000-0004-0000-0200-000001000000}"/>
    <hyperlink ref="S3" r:id="rId3" xr:uid="{00000000-0004-0000-0200-000002000000}"/>
    <hyperlink ref="F4" r:id="rId4" xr:uid="{00000000-0004-0000-0200-000003000000}"/>
    <hyperlink ref="S5" r:id="rId5" xr:uid="{00000000-0004-0000-0200-000004000000}"/>
    <hyperlink ref="F6" r:id="rId6" xr:uid="{00000000-0004-0000-0200-000005000000}"/>
    <hyperlink ref="G6" r:id="rId7" xr:uid="{00000000-0004-0000-0200-000006000000}"/>
    <hyperlink ref="F7" r:id="rId8" xr:uid="{00000000-0004-0000-0200-000007000000}"/>
    <hyperlink ref="F8" r:id="rId9" xr:uid="{00000000-0004-0000-0200-000008000000}"/>
    <hyperlink ref="S8" r:id="rId10" xr:uid="{00000000-0004-0000-0200-000009000000}"/>
    <hyperlink ref="F10" r:id="rId11" xr:uid="{00000000-0004-0000-0200-00000A000000}"/>
    <hyperlink ref="F11" r:id="rId12" xr:uid="{00000000-0004-0000-0200-00000B000000}"/>
    <hyperlink ref="S11" r:id="rId13" xr:uid="{00000000-0004-0000-0200-00000C000000}"/>
    <hyperlink ref="F12" r:id="rId14" xr:uid="{00000000-0004-0000-0200-00000D000000}"/>
    <hyperlink ref="G12" r:id="rId15" xr:uid="{00000000-0004-0000-0200-00000E000000}"/>
    <hyperlink ref="S12" r:id="rId16" xr:uid="{00000000-0004-0000-0200-00000F000000}"/>
    <hyperlink ref="F13" r:id="rId17" location="Echobox=1542985797" xr:uid="{00000000-0004-0000-0200-000010000000}"/>
    <hyperlink ref="F15" r:id="rId18" xr:uid="{00000000-0004-0000-0200-000011000000}"/>
    <hyperlink ref="F16" r:id="rId19" xr:uid="{00000000-0004-0000-0200-000012000000}"/>
    <hyperlink ref="F17" r:id="rId20" xr:uid="{00000000-0004-0000-0200-000013000000}"/>
    <hyperlink ref="G17" r:id="rId21" xr:uid="{00000000-0004-0000-0200-000014000000}"/>
    <hyperlink ref="S17" r:id="rId22" xr:uid="{00000000-0004-0000-0200-000015000000}"/>
    <hyperlink ref="F18" r:id="rId23" xr:uid="{00000000-0004-0000-0200-000016000000}"/>
    <hyperlink ref="G18" r:id="rId24" xr:uid="{00000000-0004-0000-0200-000017000000}"/>
    <hyperlink ref="S18" r:id="rId25" xr:uid="{00000000-0004-0000-0200-000018000000}"/>
    <hyperlink ref="G19" r:id="rId26" xr:uid="{00000000-0004-0000-0200-000019000000}"/>
    <hyperlink ref="S19" r:id="rId27" xr:uid="{00000000-0004-0000-0200-00001A000000}"/>
    <hyperlink ref="G20" r:id="rId28" xr:uid="{00000000-0004-0000-0200-00001B000000}"/>
    <hyperlink ref="S20" r:id="rId29" xr:uid="{00000000-0004-0000-0200-00001C000000}"/>
    <hyperlink ref="F21" r:id="rId30" xr:uid="{00000000-0004-0000-0200-00001D000000}"/>
    <hyperlink ref="G21" r:id="rId31" xr:uid="{00000000-0004-0000-0200-00001E000000}"/>
    <hyperlink ref="S21" r:id="rId32" xr:uid="{00000000-0004-0000-0200-00001F000000}"/>
    <hyperlink ref="F22" r:id="rId33" xr:uid="{00000000-0004-0000-0200-000020000000}"/>
    <hyperlink ref="S22" r:id="rId34" xr:uid="{00000000-0004-0000-0200-000021000000}"/>
    <hyperlink ref="G23" r:id="rId35" xr:uid="{00000000-0004-0000-0200-000022000000}"/>
    <hyperlink ref="S23" r:id="rId36" xr:uid="{00000000-0004-0000-0200-000023000000}"/>
    <hyperlink ref="G24" r:id="rId37" xr:uid="{00000000-0004-0000-0200-000024000000}"/>
    <hyperlink ref="S24" r:id="rId38" xr:uid="{00000000-0004-0000-0200-000025000000}"/>
    <hyperlink ref="G25" r:id="rId39" xr:uid="{00000000-0004-0000-0200-000026000000}"/>
    <hyperlink ref="S26" r:id="rId40" xr:uid="{00000000-0004-0000-0200-000027000000}"/>
    <hyperlink ref="F27" r:id="rId41" xr:uid="{00000000-0004-0000-0200-000028000000}"/>
    <hyperlink ref="S27" r:id="rId42" xr:uid="{00000000-0004-0000-0200-000029000000}"/>
    <hyperlink ref="F28" r:id="rId43" xr:uid="{00000000-0004-0000-0200-00002A000000}"/>
    <hyperlink ref="S28" r:id="rId44" xr:uid="{00000000-0004-0000-0200-00002B000000}"/>
    <hyperlink ref="G29" r:id="rId45" xr:uid="{00000000-0004-0000-0200-00002C000000}"/>
    <hyperlink ref="F30" r:id="rId46" xr:uid="{00000000-0004-0000-0200-00002D000000}"/>
    <hyperlink ref="G30" r:id="rId47" xr:uid="{00000000-0004-0000-0200-00002E000000}"/>
    <hyperlink ref="S30" r:id="rId48" xr:uid="{00000000-0004-0000-0200-00002F000000}"/>
    <hyperlink ref="F31" r:id="rId49" xr:uid="{00000000-0004-0000-0200-000030000000}"/>
    <hyperlink ref="F32" r:id="rId50" xr:uid="{00000000-0004-0000-0200-000031000000}"/>
    <hyperlink ref="F33" r:id="rId51" xr:uid="{00000000-0004-0000-0200-000032000000}"/>
    <hyperlink ref="S33" r:id="rId52" xr:uid="{00000000-0004-0000-0200-000033000000}"/>
    <hyperlink ref="F35" r:id="rId53" xr:uid="{00000000-0004-0000-0200-000034000000}"/>
    <hyperlink ref="S35" r:id="rId54" xr:uid="{00000000-0004-0000-0200-000035000000}"/>
    <hyperlink ref="F36" r:id="rId55" xr:uid="{00000000-0004-0000-0200-000036000000}"/>
    <hyperlink ref="S36" r:id="rId56" xr:uid="{00000000-0004-0000-0200-000037000000}"/>
    <hyperlink ref="F39" r:id="rId57" xr:uid="{00000000-0004-0000-0200-000038000000}"/>
    <hyperlink ref="S39" r:id="rId58" xr:uid="{00000000-0004-0000-0200-000039000000}"/>
    <hyperlink ref="F40" r:id="rId59" location=".W_gTcFHUNqs.twitter" xr:uid="{00000000-0004-0000-0200-00003A000000}"/>
    <hyperlink ref="F41" r:id="rId60" xr:uid="{00000000-0004-0000-0200-00003B000000}"/>
    <hyperlink ref="F42" r:id="rId61" xr:uid="{00000000-0004-0000-0200-00003C000000}"/>
    <hyperlink ref="G44" r:id="rId62" xr:uid="{00000000-0004-0000-0200-00003D000000}"/>
    <hyperlink ref="S44" r:id="rId63" xr:uid="{00000000-0004-0000-0200-00003E000000}"/>
    <hyperlink ref="F45" r:id="rId64" location=".W_gTOhIczgM.twitter" xr:uid="{00000000-0004-0000-0200-00003F000000}"/>
    <hyperlink ref="F46" r:id="rId65" xr:uid="{00000000-0004-0000-0200-000040000000}"/>
    <hyperlink ref="S46" r:id="rId66" xr:uid="{00000000-0004-0000-0200-000041000000}"/>
    <hyperlink ref="F47" r:id="rId67" xr:uid="{00000000-0004-0000-0200-000042000000}"/>
    <hyperlink ref="G47" r:id="rId68" xr:uid="{00000000-0004-0000-0200-000043000000}"/>
    <hyperlink ref="S47" r:id="rId69" xr:uid="{00000000-0004-0000-0200-000044000000}"/>
    <hyperlink ref="F48" r:id="rId70" xr:uid="{00000000-0004-0000-0200-000045000000}"/>
    <hyperlink ref="S48" r:id="rId71" xr:uid="{00000000-0004-0000-0200-000046000000}"/>
    <hyperlink ref="F49" r:id="rId72" location=".W_gS2UwbnJw.twitter" xr:uid="{00000000-0004-0000-0200-000047000000}"/>
    <hyperlink ref="F50" r:id="rId73" location="ns_campaign=rrss-inducido&amp;ns_mchannel=abc-es&amp;ns_source=tw&amp;ns_linkname=noticia-foto&amp;ns_fee=0" xr:uid="{00000000-0004-0000-0200-000048000000}"/>
    <hyperlink ref="G52" r:id="rId74" xr:uid="{00000000-0004-0000-0200-000049000000}"/>
    <hyperlink ref="F53" r:id="rId75" xr:uid="{00000000-0004-0000-0200-00004A000000}"/>
    <hyperlink ref="F54" r:id="rId76" xr:uid="{00000000-0004-0000-0200-00004B000000}"/>
    <hyperlink ref="F55" r:id="rId77" xr:uid="{00000000-0004-0000-0200-00004C000000}"/>
    <hyperlink ref="G55" r:id="rId78" xr:uid="{00000000-0004-0000-0200-00004D000000}"/>
    <hyperlink ref="S55" r:id="rId79" xr:uid="{00000000-0004-0000-0200-00004E000000}"/>
    <hyperlink ref="F56" r:id="rId80" xr:uid="{00000000-0004-0000-0200-00004F000000}"/>
    <hyperlink ref="G56" r:id="rId81" xr:uid="{00000000-0004-0000-0200-000050000000}"/>
    <hyperlink ref="S56" r:id="rId82" xr:uid="{00000000-0004-0000-0200-000051000000}"/>
    <hyperlink ref="F57" r:id="rId83" xr:uid="{00000000-0004-0000-0200-000052000000}"/>
    <hyperlink ref="G57" r:id="rId84" xr:uid="{00000000-0004-0000-0200-000053000000}"/>
    <hyperlink ref="S57" r:id="rId85" xr:uid="{00000000-0004-0000-0200-000054000000}"/>
    <hyperlink ref="G58" r:id="rId86" xr:uid="{00000000-0004-0000-0200-000055000000}"/>
    <hyperlink ref="F59" r:id="rId87" xr:uid="{00000000-0004-0000-0200-000056000000}"/>
    <hyperlink ref="F60" r:id="rId88" xr:uid="{00000000-0004-0000-0200-000057000000}"/>
    <hyperlink ref="F61" r:id="rId89" xr:uid="{00000000-0004-0000-0200-000058000000}"/>
    <hyperlink ref="F62" r:id="rId90" xr:uid="{00000000-0004-0000-0200-000059000000}"/>
    <hyperlink ref="G62" r:id="rId91" xr:uid="{00000000-0004-0000-0200-00005A000000}"/>
    <hyperlink ref="S62" r:id="rId92" xr:uid="{00000000-0004-0000-0200-00005B000000}"/>
    <hyperlink ref="S63" r:id="rId93" xr:uid="{00000000-0004-0000-0200-00005C000000}"/>
    <hyperlink ref="F64" r:id="rId94" location=".W_gQE6C1JtQ.twitter" xr:uid="{00000000-0004-0000-0200-00005D000000}"/>
    <hyperlink ref="F65" r:id="rId95" xr:uid="{00000000-0004-0000-0200-00005E000000}"/>
    <hyperlink ref="F66" r:id="rId96" location=".W_gPsQT-vvo.twitter" xr:uid="{00000000-0004-0000-0200-00005F000000}"/>
    <hyperlink ref="F67" r:id="rId97" xr:uid="{00000000-0004-0000-0200-000060000000}"/>
    <hyperlink ref="F68" r:id="rId98" xr:uid="{00000000-0004-0000-0200-000061000000}"/>
    <hyperlink ref="S68" r:id="rId99" xr:uid="{00000000-0004-0000-0200-000062000000}"/>
    <hyperlink ref="G71" r:id="rId100" xr:uid="{00000000-0004-0000-0200-000063000000}"/>
    <hyperlink ref="S71" r:id="rId101" xr:uid="{00000000-0004-0000-0200-000064000000}"/>
    <hyperlink ref="F73" r:id="rId102" xr:uid="{00000000-0004-0000-0200-000065000000}"/>
    <hyperlink ref="G73" r:id="rId103" xr:uid="{00000000-0004-0000-0200-000066000000}"/>
    <hyperlink ref="S73" r:id="rId104" xr:uid="{00000000-0004-0000-0200-000067000000}"/>
    <hyperlink ref="G74" r:id="rId105" xr:uid="{00000000-0004-0000-0200-000068000000}"/>
    <hyperlink ref="F75" r:id="rId106" location=".W_gOVg7LcR0.twitter" xr:uid="{00000000-0004-0000-0200-000069000000}"/>
    <hyperlink ref="F76" r:id="rId107" xr:uid="{00000000-0004-0000-0200-00006A000000}"/>
    <hyperlink ref="S76" r:id="rId108" xr:uid="{00000000-0004-0000-0200-00006B000000}"/>
    <hyperlink ref="F78" r:id="rId109" xr:uid="{00000000-0004-0000-0200-00006C000000}"/>
    <hyperlink ref="G78" r:id="rId110" xr:uid="{00000000-0004-0000-0200-00006D000000}"/>
    <hyperlink ref="S78" r:id="rId111" xr:uid="{00000000-0004-0000-0200-00006E000000}"/>
    <hyperlink ref="F79" r:id="rId112" xr:uid="{00000000-0004-0000-0200-00006F000000}"/>
    <hyperlink ref="F80" r:id="rId113" xr:uid="{00000000-0004-0000-0200-000070000000}"/>
    <hyperlink ref="F81" r:id="rId114" xr:uid="{00000000-0004-0000-0200-000071000000}"/>
    <hyperlink ref="S81" r:id="rId115" xr:uid="{00000000-0004-0000-0200-000072000000}"/>
    <hyperlink ref="F82" r:id="rId116" xr:uid="{00000000-0004-0000-0200-000073000000}"/>
    <hyperlink ref="F83" r:id="rId117" xr:uid="{00000000-0004-0000-0200-000074000000}"/>
    <hyperlink ref="S83" r:id="rId118" xr:uid="{00000000-0004-0000-0200-000075000000}"/>
    <hyperlink ref="F84" r:id="rId119" xr:uid="{00000000-0004-0000-0200-000076000000}"/>
    <hyperlink ref="F86" r:id="rId120" xr:uid="{00000000-0004-0000-0200-000077000000}"/>
    <hyperlink ref="F87" r:id="rId121" xr:uid="{00000000-0004-0000-0200-000078000000}"/>
    <hyperlink ref="G87" r:id="rId122" xr:uid="{00000000-0004-0000-0200-000079000000}"/>
    <hyperlink ref="S87" r:id="rId123" xr:uid="{00000000-0004-0000-0200-00007A000000}"/>
    <hyperlink ref="G88" r:id="rId124" xr:uid="{00000000-0004-0000-0200-00007B000000}"/>
    <hyperlink ref="G89" r:id="rId125" xr:uid="{00000000-0004-0000-0200-00007C000000}"/>
    <hyperlink ref="S90" r:id="rId126" xr:uid="{00000000-0004-0000-0200-00007D000000}"/>
    <hyperlink ref="F91" r:id="rId127" xr:uid="{00000000-0004-0000-0200-00007E000000}"/>
    <hyperlink ref="S91" r:id="rId128" xr:uid="{00000000-0004-0000-0200-00007F000000}"/>
    <hyperlink ref="F94" r:id="rId129" xr:uid="{00000000-0004-0000-0200-000080000000}"/>
    <hyperlink ref="G95" r:id="rId130" xr:uid="{00000000-0004-0000-0200-000081000000}"/>
    <hyperlink ref="S95" r:id="rId131" xr:uid="{00000000-0004-0000-0200-000082000000}"/>
    <hyperlink ref="F96" r:id="rId132" xr:uid="{00000000-0004-0000-0200-000083000000}"/>
    <hyperlink ref="S97" r:id="rId133" xr:uid="{00000000-0004-0000-0200-000084000000}"/>
    <hyperlink ref="F98" r:id="rId134" xr:uid="{00000000-0004-0000-0200-000085000000}"/>
    <hyperlink ref="S98" r:id="rId135" xr:uid="{00000000-0004-0000-0200-000086000000}"/>
    <hyperlink ref="F99" r:id="rId136" xr:uid="{00000000-0004-0000-0200-000087000000}"/>
    <hyperlink ref="S99" r:id="rId137" xr:uid="{00000000-0004-0000-0200-000088000000}"/>
    <hyperlink ref="F100" r:id="rId138" xr:uid="{00000000-0004-0000-0200-000089000000}"/>
    <hyperlink ref="S100" r:id="rId139" xr:uid="{00000000-0004-0000-0200-00008A000000}"/>
    <hyperlink ref="F101" r:id="rId140" xr:uid="{00000000-0004-0000-0200-00008B000000}"/>
    <hyperlink ref="F103" r:id="rId141" xr:uid="{00000000-0004-0000-0200-00008C000000}"/>
    <hyperlink ref="S103" r:id="rId142" xr:uid="{00000000-0004-0000-0200-00008D000000}"/>
    <hyperlink ref="F104" r:id="rId143" xr:uid="{00000000-0004-0000-0200-00008E000000}"/>
    <hyperlink ref="G104" r:id="rId144" xr:uid="{00000000-0004-0000-0200-00008F000000}"/>
    <hyperlink ref="S104" r:id="rId145" xr:uid="{00000000-0004-0000-0200-000090000000}"/>
    <hyperlink ref="F105" r:id="rId146" xr:uid="{00000000-0004-0000-0200-000091000000}"/>
    <hyperlink ref="F106" r:id="rId147" xr:uid="{00000000-0004-0000-0200-000092000000}"/>
    <hyperlink ref="F107" r:id="rId148" xr:uid="{00000000-0004-0000-0200-000093000000}"/>
    <hyperlink ref="F108" r:id="rId149" xr:uid="{00000000-0004-0000-0200-000094000000}"/>
    <hyperlink ref="S108" r:id="rId150" xr:uid="{00000000-0004-0000-0200-000095000000}"/>
    <hyperlink ref="F109" r:id="rId151" xr:uid="{00000000-0004-0000-0200-000096000000}"/>
    <hyperlink ref="S109" r:id="rId152" xr:uid="{00000000-0004-0000-0200-000097000000}"/>
    <hyperlink ref="F110" r:id="rId153" xr:uid="{00000000-0004-0000-0200-000098000000}"/>
    <hyperlink ref="S110" r:id="rId154" xr:uid="{00000000-0004-0000-0200-000099000000}"/>
    <hyperlink ref="F111" r:id="rId155" xr:uid="{00000000-0004-0000-0200-00009A000000}"/>
    <hyperlink ref="S111" r:id="rId156" xr:uid="{00000000-0004-0000-0200-00009B000000}"/>
    <hyperlink ref="F114" r:id="rId157" xr:uid="{00000000-0004-0000-0200-00009C000000}"/>
    <hyperlink ref="S114" r:id="rId158" xr:uid="{00000000-0004-0000-0200-00009D000000}"/>
    <hyperlink ref="C115" r:id="rId159" xr:uid="{00000000-0004-0000-0200-00009E000000}"/>
    <hyperlink ref="F115" r:id="rId160" xr:uid="{00000000-0004-0000-0200-00009F000000}"/>
    <hyperlink ref="S115" r:id="rId161" xr:uid="{00000000-0004-0000-0200-0000A0000000}"/>
    <hyperlink ref="F116" r:id="rId162" xr:uid="{00000000-0004-0000-0200-0000A1000000}"/>
    <hyperlink ref="F117" r:id="rId163" xr:uid="{00000000-0004-0000-0200-0000A2000000}"/>
    <hyperlink ref="F118" r:id="rId164" xr:uid="{00000000-0004-0000-0200-0000A3000000}"/>
    <hyperlink ref="G118" r:id="rId165" xr:uid="{00000000-0004-0000-0200-0000A4000000}"/>
    <hyperlink ref="S118" r:id="rId166" xr:uid="{00000000-0004-0000-0200-0000A5000000}"/>
    <hyperlink ref="F120" r:id="rId167" xr:uid="{00000000-0004-0000-0200-0000A6000000}"/>
    <hyperlink ref="G120" r:id="rId168" xr:uid="{00000000-0004-0000-0200-0000A7000000}"/>
    <hyperlink ref="G122" r:id="rId169" xr:uid="{00000000-0004-0000-0200-0000A8000000}"/>
    <hyperlink ref="S122" r:id="rId170" xr:uid="{00000000-0004-0000-0200-0000A9000000}"/>
    <hyperlink ref="F123" r:id="rId171" xr:uid="{00000000-0004-0000-0200-0000AA000000}"/>
    <hyperlink ref="G124" r:id="rId172" xr:uid="{00000000-0004-0000-0200-0000AB000000}"/>
    <hyperlink ref="F126" r:id="rId173" xr:uid="{00000000-0004-0000-0200-0000AC000000}"/>
    <hyperlink ref="S126" r:id="rId174" xr:uid="{00000000-0004-0000-0200-0000AD000000}"/>
    <hyperlink ref="F130" r:id="rId175" xr:uid="{00000000-0004-0000-0200-0000AE000000}"/>
    <hyperlink ref="S130" r:id="rId176" xr:uid="{00000000-0004-0000-0200-0000AF000000}"/>
    <hyperlink ref="F133" r:id="rId177" xr:uid="{00000000-0004-0000-0200-0000B0000000}"/>
    <hyperlink ref="F134" r:id="rId178" xr:uid="{00000000-0004-0000-0200-0000B1000000}"/>
    <hyperlink ref="S134" r:id="rId179" xr:uid="{00000000-0004-0000-0200-0000B2000000}"/>
    <hyperlink ref="F135" r:id="rId180" xr:uid="{00000000-0004-0000-0200-0000B3000000}"/>
    <hyperlink ref="S136" r:id="rId181" xr:uid="{00000000-0004-0000-0200-0000B4000000}"/>
    <hyperlink ref="F137" r:id="rId182" xr:uid="{00000000-0004-0000-0200-0000B5000000}"/>
    <hyperlink ref="S137" r:id="rId183" xr:uid="{00000000-0004-0000-0200-0000B6000000}"/>
    <hyperlink ref="G140" r:id="rId184" xr:uid="{00000000-0004-0000-0200-0000B7000000}"/>
    <hyperlink ref="S140" r:id="rId185" xr:uid="{00000000-0004-0000-0200-0000B8000000}"/>
    <hyperlink ref="F141" r:id="rId186" xr:uid="{00000000-0004-0000-0200-0000B9000000}"/>
    <hyperlink ref="F142" r:id="rId187" xr:uid="{00000000-0004-0000-0200-0000BA000000}"/>
    <hyperlink ref="G143" r:id="rId188" xr:uid="{00000000-0004-0000-0200-0000BB000000}"/>
    <hyperlink ref="S143" r:id="rId189" xr:uid="{00000000-0004-0000-0200-0000BC000000}"/>
    <hyperlink ref="F144" r:id="rId190" xr:uid="{00000000-0004-0000-0200-0000BD000000}"/>
    <hyperlink ref="F145" r:id="rId191" xr:uid="{00000000-0004-0000-0200-0000BE000000}"/>
    <hyperlink ref="G145" r:id="rId192" xr:uid="{00000000-0004-0000-0200-0000BF000000}"/>
    <hyperlink ref="S145" r:id="rId193" xr:uid="{00000000-0004-0000-0200-0000C0000000}"/>
    <hyperlink ref="F147" r:id="rId194" location=".W_gGo1bk9yw.twitter" xr:uid="{00000000-0004-0000-0200-0000C1000000}"/>
    <hyperlink ref="F148" r:id="rId195" xr:uid="{00000000-0004-0000-0200-0000C2000000}"/>
    <hyperlink ref="G148" r:id="rId196" xr:uid="{00000000-0004-0000-0200-0000C3000000}"/>
    <hyperlink ref="S148" r:id="rId197" xr:uid="{00000000-0004-0000-0200-0000C4000000}"/>
    <hyperlink ref="F150" r:id="rId198" xr:uid="{00000000-0004-0000-0200-0000C5000000}"/>
    <hyperlink ref="F151" r:id="rId199" xr:uid="{00000000-0004-0000-0200-0000C6000000}"/>
    <hyperlink ref="S151" r:id="rId200" xr:uid="{00000000-0004-0000-0200-0000C7000000}"/>
    <hyperlink ref="F152" r:id="rId201" xr:uid="{00000000-0004-0000-0200-0000C8000000}"/>
    <hyperlink ref="F153" r:id="rId202" location="ns_campaign=rrss-inducido&amp;ns_mchannel=abc-es&amp;ns_source=tw&amp;ns_linkname=noticia-foto&amp;ns_fee=0" xr:uid="{00000000-0004-0000-0200-0000C9000000}"/>
    <hyperlink ref="S153" r:id="rId203" xr:uid="{00000000-0004-0000-0200-0000CA000000}"/>
    <hyperlink ref="F154" r:id="rId204" xr:uid="{00000000-0004-0000-0200-0000CB000000}"/>
    <hyperlink ref="S154" r:id="rId205" xr:uid="{00000000-0004-0000-0200-0000CC000000}"/>
    <hyperlink ref="F155" r:id="rId206" location="ns_campaign=rrss-inducido&amp;ns_mchannel=abc-es&amp;ns_source=tw&amp;ns_linkname=noticia-foto&amp;ns_fee=0" xr:uid="{00000000-0004-0000-0200-0000CD000000}"/>
    <hyperlink ref="F156" r:id="rId207" xr:uid="{00000000-0004-0000-0200-0000CE000000}"/>
    <hyperlink ref="F157" r:id="rId208" xr:uid="{00000000-0004-0000-0200-0000CF000000}"/>
    <hyperlink ref="G157" r:id="rId209" xr:uid="{00000000-0004-0000-0200-0000D0000000}"/>
    <hyperlink ref="F158" r:id="rId210" location=".W_gFIp0eLKE.twitter" xr:uid="{00000000-0004-0000-0200-0000D1000000}"/>
    <hyperlink ref="F159" r:id="rId211" xr:uid="{00000000-0004-0000-0200-0000D2000000}"/>
    <hyperlink ref="S159" r:id="rId212" xr:uid="{00000000-0004-0000-0200-0000D3000000}"/>
    <hyperlink ref="F160" r:id="rId213" xr:uid="{00000000-0004-0000-0200-0000D4000000}"/>
    <hyperlink ref="F161" r:id="rId214" xr:uid="{00000000-0004-0000-0200-0000D5000000}"/>
    <hyperlink ref="F162" r:id="rId215" xr:uid="{00000000-0004-0000-0200-0000D6000000}"/>
    <hyperlink ref="G162" r:id="rId216" xr:uid="{00000000-0004-0000-0200-0000D7000000}"/>
    <hyperlink ref="S162" r:id="rId217" xr:uid="{00000000-0004-0000-0200-0000D8000000}"/>
    <hyperlink ref="F163" r:id="rId218" xr:uid="{00000000-0004-0000-0200-0000D9000000}"/>
    <hyperlink ref="G163" r:id="rId219" xr:uid="{00000000-0004-0000-0200-0000DA000000}"/>
    <hyperlink ref="F164" r:id="rId220" xr:uid="{00000000-0004-0000-0200-0000DB000000}"/>
    <hyperlink ref="S164" r:id="rId221" xr:uid="{00000000-0004-0000-0200-0000DC000000}"/>
    <hyperlink ref="F165" r:id="rId222" xr:uid="{00000000-0004-0000-0200-0000DD000000}"/>
    <hyperlink ref="S165" r:id="rId223" xr:uid="{00000000-0004-0000-0200-0000DE000000}"/>
    <hyperlink ref="F166" r:id="rId224" xr:uid="{00000000-0004-0000-0200-0000DF000000}"/>
    <hyperlink ref="F167" r:id="rId225" xr:uid="{00000000-0004-0000-0200-0000E0000000}"/>
    <hyperlink ref="S167" r:id="rId226" xr:uid="{00000000-0004-0000-0200-0000E1000000}"/>
    <hyperlink ref="G168" r:id="rId227" xr:uid="{00000000-0004-0000-0200-0000E2000000}"/>
    <hyperlink ref="S168" r:id="rId228" xr:uid="{00000000-0004-0000-0200-0000E3000000}"/>
    <hyperlink ref="F169" r:id="rId229" xr:uid="{00000000-0004-0000-0200-0000E4000000}"/>
    <hyperlink ref="S169" r:id="rId230" xr:uid="{00000000-0004-0000-0200-0000E5000000}"/>
    <hyperlink ref="G170" r:id="rId231" xr:uid="{00000000-0004-0000-0200-0000E6000000}"/>
    <hyperlink ref="F171" r:id="rId232" xr:uid="{00000000-0004-0000-0200-0000E7000000}"/>
    <hyperlink ref="G172" r:id="rId233" xr:uid="{00000000-0004-0000-0200-0000E8000000}"/>
    <hyperlink ref="S172" r:id="rId234" xr:uid="{00000000-0004-0000-0200-0000E9000000}"/>
    <hyperlink ref="F173" r:id="rId235" xr:uid="{00000000-0004-0000-0200-0000EA000000}"/>
    <hyperlink ref="S173" r:id="rId236" xr:uid="{00000000-0004-0000-0200-0000EB000000}"/>
    <hyperlink ref="F174" r:id="rId237" xr:uid="{00000000-0004-0000-0200-0000EC000000}"/>
    <hyperlink ref="F175" r:id="rId238" xr:uid="{00000000-0004-0000-0200-0000ED000000}"/>
    <hyperlink ref="F176" r:id="rId239" xr:uid="{00000000-0004-0000-0200-0000EE000000}"/>
    <hyperlink ref="F177" r:id="rId240" xr:uid="{00000000-0004-0000-0200-0000EF000000}"/>
    <hyperlink ref="G177" r:id="rId241" xr:uid="{00000000-0004-0000-0200-0000F0000000}"/>
    <hyperlink ref="S177" r:id="rId242" xr:uid="{00000000-0004-0000-0200-0000F1000000}"/>
    <hyperlink ref="F180" r:id="rId243" xr:uid="{00000000-0004-0000-0200-0000F2000000}"/>
    <hyperlink ref="S180" r:id="rId244" xr:uid="{00000000-0004-0000-0200-0000F3000000}"/>
    <hyperlink ref="S181" r:id="rId245" xr:uid="{00000000-0004-0000-0200-0000F4000000}"/>
    <hyperlink ref="F182" r:id="rId246" xr:uid="{00000000-0004-0000-0200-0000F5000000}"/>
    <hyperlink ref="G182" r:id="rId247" xr:uid="{00000000-0004-0000-0200-0000F6000000}"/>
    <hyperlink ref="C183" r:id="rId248" xr:uid="{00000000-0004-0000-0200-0000F7000000}"/>
    <hyperlink ref="F183" r:id="rId249" xr:uid="{00000000-0004-0000-0200-0000F8000000}"/>
    <hyperlink ref="G183" r:id="rId250" xr:uid="{00000000-0004-0000-0200-0000F9000000}"/>
    <hyperlink ref="S183" r:id="rId251" xr:uid="{00000000-0004-0000-0200-0000FA000000}"/>
    <hyperlink ref="G184" r:id="rId252" xr:uid="{00000000-0004-0000-0200-0000FB000000}"/>
    <hyperlink ref="S184" r:id="rId253" xr:uid="{00000000-0004-0000-0200-0000FC000000}"/>
    <hyperlink ref="F185" r:id="rId254" xr:uid="{00000000-0004-0000-0200-0000FD000000}"/>
    <hyperlink ref="G186" r:id="rId255" xr:uid="{00000000-0004-0000-0200-0000FE000000}"/>
    <hyperlink ref="S186" r:id="rId256" xr:uid="{00000000-0004-0000-0200-0000FF000000}"/>
    <hyperlink ref="F188" r:id="rId257" xr:uid="{00000000-0004-0000-0200-000000010000}"/>
    <hyperlink ref="G188" r:id="rId258" xr:uid="{00000000-0004-0000-0200-000001010000}"/>
    <hyperlink ref="F189" r:id="rId259" xr:uid="{00000000-0004-0000-0200-000002010000}"/>
    <hyperlink ref="F190" r:id="rId260" xr:uid="{00000000-0004-0000-0200-000003010000}"/>
    <hyperlink ref="F191" r:id="rId261" xr:uid="{00000000-0004-0000-0200-000004010000}"/>
    <hyperlink ref="F192" r:id="rId262" xr:uid="{00000000-0004-0000-0200-000005010000}"/>
    <hyperlink ref="F194" r:id="rId263" xr:uid="{00000000-0004-0000-0200-000006010000}"/>
    <hyperlink ref="S194" r:id="rId264" xr:uid="{00000000-0004-0000-0200-000007010000}"/>
    <hyperlink ref="F195" r:id="rId265" xr:uid="{00000000-0004-0000-0200-000008010000}"/>
    <hyperlink ref="S195" r:id="rId266" xr:uid="{00000000-0004-0000-0200-000009010000}"/>
    <hyperlink ref="F197" r:id="rId267" xr:uid="{00000000-0004-0000-0200-00000A010000}"/>
    <hyperlink ref="C198" r:id="rId268" xr:uid="{00000000-0004-0000-0200-00000B010000}"/>
    <hyperlink ref="F198" r:id="rId269" xr:uid="{00000000-0004-0000-0200-00000C010000}"/>
    <hyperlink ref="G198" r:id="rId270" xr:uid="{00000000-0004-0000-0200-00000D010000}"/>
    <hyperlink ref="S198" r:id="rId271" xr:uid="{00000000-0004-0000-0200-00000E010000}"/>
    <hyperlink ref="F199" r:id="rId272" xr:uid="{00000000-0004-0000-0200-00000F010000}"/>
    <hyperlink ref="S199" r:id="rId273" xr:uid="{00000000-0004-0000-0200-000010010000}"/>
    <hyperlink ref="F201" r:id="rId274" xr:uid="{00000000-0004-0000-0200-000011010000}"/>
    <hyperlink ref="S201" r:id="rId275" xr:uid="{00000000-0004-0000-0200-000012010000}"/>
    <hyperlink ref="F203" r:id="rId276" xr:uid="{00000000-0004-0000-0200-000013010000}"/>
    <hyperlink ref="S203" r:id="rId277" xr:uid="{00000000-0004-0000-0200-000014010000}"/>
    <hyperlink ref="F204" r:id="rId278" xr:uid="{00000000-0004-0000-0200-000015010000}"/>
    <hyperlink ref="F205" r:id="rId279" xr:uid="{00000000-0004-0000-0200-000016010000}"/>
    <hyperlink ref="F206" r:id="rId280" xr:uid="{00000000-0004-0000-0200-000017010000}"/>
    <hyperlink ref="G208" r:id="rId281" xr:uid="{00000000-0004-0000-0200-000018010000}"/>
    <hyperlink ref="S208" r:id="rId282" xr:uid="{00000000-0004-0000-0200-000019010000}"/>
    <hyperlink ref="F209" r:id="rId283" xr:uid="{00000000-0004-0000-0200-00001A010000}"/>
    <hyperlink ref="G209" r:id="rId284" xr:uid="{00000000-0004-0000-0200-00001B010000}"/>
    <hyperlink ref="S209" r:id="rId285" xr:uid="{00000000-0004-0000-0200-00001C010000}"/>
    <hyperlink ref="F210" r:id="rId286" xr:uid="{00000000-0004-0000-0200-00001D010000}"/>
    <hyperlink ref="S210" r:id="rId287" xr:uid="{00000000-0004-0000-0200-00001E010000}"/>
    <hyperlink ref="G211" r:id="rId288" xr:uid="{00000000-0004-0000-0200-00001F010000}"/>
    <hyperlink ref="F212" r:id="rId289" xr:uid="{00000000-0004-0000-0200-000020010000}"/>
    <hyperlink ref="F214" r:id="rId290" xr:uid="{00000000-0004-0000-0200-000021010000}"/>
    <hyperlink ref="G214" r:id="rId291" xr:uid="{00000000-0004-0000-0200-000022010000}"/>
    <hyperlink ref="S214" r:id="rId292" xr:uid="{00000000-0004-0000-0200-000023010000}"/>
    <hyperlink ref="F215" r:id="rId293" xr:uid="{00000000-0004-0000-0200-000024010000}"/>
    <hyperlink ref="F216" r:id="rId294" xr:uid="{00000000-0004-0000-0200-000025010000}"/>
    <hyperlink ref="S216" r:id="rId295" xr:uid="{00000000-0004-0000-0200-000026010000}"/>
    <hyperlink ref="F217" r:id="rId296" xr:uid="{00000000-0004-0000-0200-000027010000}"/>
    <hyperlink ref="G217" r:id="rId297" xr:uid="{00000000-0004-0000-0200-000028010000}"/>
    <hyperlink ref="S217" r:id="rId298" location="!/profile.php?id=100000861292140" xr:uid="{00000000-0004-0000-0200-000029010000}"/>
    <hyperlink ref="F218" r:id="rId299" xr:uid="{00000000-0004-0000-0200-00002A010000}"/>
    <hyperlink ref="G218" r:id="rId300" xr:uid="{00000000-0004-0000-0200-00002B010000}"/>
    <hyperlink ref="S218" r:id="rId301" xr:uid="{00000000-0004-0000-0200-00002C010000}"/>
    <hyperlink ref="F220" r:id="rId302" xr:uid="{00000000-0004-0000-0200-00002D010000}"/>
    <hyperlink ref="F221" r:id="rId303" xr:uid="{00000000-0004-0000-0200-00002E010000}"/>
    <hyperlink ref="F222" r:id="rId304" xr:uid="{00000000-0004-0000-0200-00002F010000}"/>
    <hyperlink ref="S222" r:id="rId305" xr:uid="{00000000-0004-0000-0200-000030010000}"/>
    <hyperlink ref="F223" r:id="rId306" xr:uid="{00000000-0004-0000-0200-000031010000}"/>
    <hyperlink ref="F224" r:id="rId307" xr:uid="{00000000-0004-0000-0200-000032010000}"/>
    <hyperlink ref="S224" r:id="rId308" xr:uid="{00000000-0004-0000-0200-000033010000}"/>
    <hyperlink ref="F225" r:id="rId309" xr:uid="{00000000-0004-0000-0200-000034010000}"/>
    <hyperlink ref="G225" r:id="rId310" xr:uid="{00000000-0004-0000-0200-000035010000}"/>
    <hyperlink ref="F226" r:id="rId311" xr:uid="{00000000-0004-0000-0200-000036010000}"/>
    <hyperlink ref="F227" r:id="rId312" xr:uid="{00000000-0004-0000-0200-000037010000}"/>
    <hyperlink ref="S227" r:id="rId313" xr:uid="{00000000-0004-0000-0200-000038010000}"/>
    <hyperlink ref="F228" r:id="rId314" xr:uid="{00000000-0004-0000-0200-000039010000}"/>
    <hyperlink ref="R228" r:id="rId315" xr:uid="{00000000-0004-0000-0200-00003A010000}"/>
    <hyperlink ref="S228" r:id="rId316" xr:uid="{00000000-0004-0000-0200-00003B010000}"/>
    <hyperlink ref="G229" r:id="rId317" xr:uid="{00000000-0004-0000-0200-00003C010000}"/>
    <hyperlink ref="S229" r:id="rId318" xr:uid="{00000000-0004-0000-0200-00003D010000}"/>
    <hyperlink ref="S230" r:id="rId319" xr:uid="{00000000-0004-0000-0200-00003E010000}"/>
    <hyperlink ref="C231" r:id="rId320" xr:uid="{00000000-0004-0000-0200-00003F010000}"/>
    <hyperlink ref="F231" r:id="rId321" xr:uid="{00000000-0004-0000-0200-000040010000}"/>
    <hyperlink ref="G231" r:id="rId322" xr:uid="{00000000-0004-0000-0200-000041010000}"/>
    <hyperlink ref="S231" r:id="rId323" xr:uid="{00000000-0004-0000-0200-000042010000}"/>
    <hyperlink ref="F232" r:id="rId324" xr:uid="{00000000-0004-0000-0200-000043010000}"/>
    <hyperlink ref="F233" r:id="rId325" xr:uid="{00000000-0004-0000-0200-000044010000}"/>
    <hyperlink ref="G233" r:id="rId326" xr:uid="{00000000-0004-0000-0200-000045010000}"/>
    <hyperlink ref="S233" r:id="rId327" xr:uid="{00000000-0004-0000-0200-000046010000}"/>
    <hyperlink ref="F234" r:id="rId328" location="Echobox=1542831164" xr:uid="{00000000-0004-0000-0200-000047010000}"/>
    <hyperlink ref="S234" r:id="rId329" xr:uid="{00000000-0004-0000-0200-000048010000}"/>
    <hyperlink ref="F235" r:id="rId330" xr:uid="{00000000-0004-0000-0200-000049010000}"/>
    <hyperlink ref="G235" r:id="rId331" xr:uid="{00000000-0004-0000-0200-00004A010000}"/>
    <hyperlink ref="S235" r:id="rId332" xr:uid="{00000000-0004-0000-0200-00004B010000}"/>
    <hyperlink ref="F236" r:id="rId333" xr:uid="{00000000-0004-0000-0200-00004C010000}"/>
    <hyperlink ref="G237" r:id="rId334" xr:uid="{00000000-0004-0000-0200-00004D010000}"/>
    <hyperlink ref="F239" r:id="rId335" xr:uid="{00000000-0004-0000-0200-00004E010000}"/>
    <hyperlink ref="S239" r:id="rId336" xr:uid="{00000000-0004-0000-0200-00004F010000}"/>
    <hyperlink ref="F240" r:id="rId337" xr:uid="{00000000-0004-0000-0200-000050010000}"/>
    <hyperlink ref="F241" r:id="rId338" xr:uid="{00000000-0004-0000-0200-000051010000}"/>
    <hyperlink ref="S242" r:id="rId339" xr:uid="{00000000-0004-0000-0200-000052010000}"/>
    <hyperlink ref="F243" r:id="rId340" xr:uid="{00000000-0004-0000-0200-000053010000}"/>
    <hyperlink ref="G243" r:id="rId341" xr:uid="{00000000-0004-0000-0200-000054010000}"/>
    <hyperlink ref="S243" r:id="rId342" xr:uid="{00000000-0004-0000-0200-000055010000}"/>
    <hyperlink ref="F245" r:id="rId343" xr:uid="{00000000-0004-0000-0200-000056010000}"/>
    <hyperlink ref="F246" r:id="rId344" xr:uid="{00000000-0004-0000-0200-000057010000}"/>
    <hyperlink ref="F247" r:id="rId345" xr:uid="{00000000-0004-0000-0200-000058010000}"/>
    <hyperlink ref="C248" r:id="rId346" xr:uid="{00000000-0004-0000-0200-000059010000}"/>
    <hyperlink ref="F248" r:id="rId347" xr:uid="{00000000-0004-0000-0200-00005A010000}"/>
    <hyperlink ref="S248" r:id="rId348" xr:uid="{00000000-0004-0000-0200-00005B010000}"/>
    <hyperlink ref="F249" r:id="rId349" xr:uid="{00000000-0004-0000-0200-00005C010000}"/>
    <hyperlink ref="S249" r:id="rId350" xr:uid="{00000000-0004-0000-0200-00005D010000}"/>
    <hyperlink ref="F250" r:id="rId351" xr:uid="{00000000-0004-0000-0200-00005E010000}"/>
    <hyperlink ref="G251" r:id="rId352" xr:uid="{00000000-0004-0000-0200-00005F010000}"/>
    <hyperlink ref="S251" r:id="rId353" xr:uid="{00000000-0004-0000-0200-000060010000}"/>
    <hyperlink ref="G252" r:id="rId354" xr:uid="{00000000-0004-0000-0200-000061010000}"/>
    <hyperlink ref="F253" r:id="rId355" xr:uid="{00000000-0004-0000-0200-000062010000}"/>
    <hyperlink ref="S253" r:id="rId356" xr:uid="{00000000-0004-0000-0200-000063010000}"/>
    <hyperlink ref="F254" r:id="rId357" xr:uid="{00000000-0004-0000-0200-000064010000}"/>
    <hyperlink ref="S254" r:id="rId358" xr:uid="{00000000-0004-0000-0200-000065010000}"/>
    <hyperlink ref="F255" r:id="rId359" xr:uid="{00000000-0004-0000-0200-000066010000}"/>
    <hyperlink ref="F256" r:id="rId360" xr:uid="{00000000-0004-0000-0200-000067010000}"/>
    <hyperlink ref="F257" r:id="rId361" xr:uid="{00000000-0004-0000-0200-000068010000}"/>
    <hyperlink ref="F258" r:id="rId362" xr:uid="{00000000-0004-0000-0200-000069010000}"/>
    <hyperlink ref="S258" r:id="rId363" xr:uid="{00000000-0004-0000-0200-00006A010000}"/>
    <hyperlink ref="F259" r:id="rId364" xr:uid="{00000000-0004-0000-0200-00006B010000}"/>
    <hyperlink ref="S259" r:id="rId365" xr:uid="{00000000-0004-0000-0200-00006C010000}"/>
    <hyperlink ref="F260" r:id="rId366" xr:uid="{00000000-0004-0000-0200-00006D010000}"/>
    <hyperlink ref="S260" r:id="rId367" xr:uid="{00000000-0004-0000-0200-00006E010000}"/>
    <hyperlink ref="F261" r:id="rId368" xr:uid="{00000000-0004-0000-0200-00006F010000}"/>
    <hyperlink ref="S261" r:id="rId369" xr:uid="{00000000-0004-0000-0200-000070010000}"/>
    <hyperlink ref="F262" r:id="rId370" xr:uid="{00000000-0004-0000-0200-000071010000}"/>
    <hyperlink ref="F263" r:id="rId371" xr:uid="{00000000-0004-0000-0200-000072010000}"/>
    <hyperlink ref="G263" r:id="rId372" xr:uid="{00000000-0004-0000-0200-000073010000}"/>
    <hyperlink ref="F264" r:id="rId373" xr:uid="{00000000-0004-0000-0200-000074010000}"/>
    <hyperlink ref="S264" r:id="rId374" xr:uid="{00000000-0004-0000-0200-000075010000}"/>
    <hyperlink ref="F265" r:id="rId375" xr:uid="{00000000-0004-0000-0200-000076010000}"/>
    <hyperlink ref="S265" r:id="rId376" xr:uid="{00000000-0004-0000-0200-000077010000}"/>
    <hyperlink ref="F266" r:id="rId377" xr:uid="{00000000-0004-0000-0200-000078010000}"/>
    <hyperlink ref="G266" r:id="rId378" xr:uid="{00000000-0004-0000-0200-000079010000}"/>
    <hyperlink ref="G267" r:id="rId379" xr:uid="{00000000-0004-0000-0200-00007A010000}"/>
    <hyperlink ref="S267" r:id="rId380" xr:uid="{00000000-0004-0000-0200-00007B010000}"/>
    <hyperlink ref="F269" r:id="rId381" xr:uid="{00000000-0004-0000-0200-00007C010000}"/>
    <hyperlink ref="S269" r:id="rId382" xr:uid="{00000000-0004-0000-0200-00007D010000}"/>
    <hyperlink ref="G271" r:id="rId383" xr:uid="{00000000-0004-0000-0200-00007E010000}"/>
    <hyperlink ref="S271" r:id="rId384" xr:uid="{00000000-0004-0000-0200-00007F010000}"/>
    <hyperlink ref="F272" r:id="rId385" xr:uid="{00000000-0004-0000-0200-000080010000}"/>
    <hyperlink ref="G273" r:id="rId386" xr:uid="{00000000-0004-0000-0200-000081010000}"/>
    <hyperlink ref="S273" r:id="rId387" xr:uid="{00000000-0004-0000-0200-000082010000}"/>
    <hyperlink ref="S274" r:id="rId388" xr:uid="{00000000-0004-0000-0200-000083010000}"/>
    <hyperlink ref="F275" r:id="rId389" xr:uid="{00000000-0004-0000-0200-000084010000}"/>
    <hyperlink ref="G276" r:id="rId390" xr:uid="{00000000-0004-0000-0200-000085010000}"/>
    <hyperlink ref="S276" r:id="rId391" xr:uid="{00000000-0004-0000-0200-000086010000}"/>
    <hyperlink ref="F277" r:id="rId392" xr:uid="{00000000-0004-0000-0200-000087010000}"/>
    <hyperlink ref="F278" r:id="rId393" xr:uid="{00000000-0004-0000-0200-000088010000}"/>
    <hyperlink ref="F279" r:id="rId394" xr:uid="{00000000-0004-0000-0200-000089010000}"/>
    <hyperlink ref="S279" r:id="rId395" xr:uid="{00000000-0004-0000-0200-00008A010000}"/>
    <hyperlink ref="F281" r:id="rId396" xr:uid="{00000000-0004-0000-0200-00008B010000}"/>
    <hyperlink ref="S281" r:id="rId397" xr:uid="{00000000-0004-0000-0200-00008C010000}"/>
    <hyperlink ref="F282" r:id="rId398" xr:uid="{00000000-0004-0000-0200-00008D010000}"/>
    <hyperlink ref="G282" r:id="rId399" xr:uid="{00000000-0004-0000-0200-00008E010000}"/>
    <hyperlink ref="S282" r:id="rId400" xr:uid="{00000000-0004-0000-0200-00008F010000}"/>
    <hyperlink ref="F283" r:id="rId401" xr:uid="{00000000-0004-0000-0200-000090010000}"/>
    <hyperlink ref="S283" r:id="rId402" xr:uid="{00000000-0004-0000-0200-000091010000}"/>
    <hyperlink ref="F284" r:id="rId403" xr:uid="{00000000-0004-0000-0200-000092010000}"/>
    <hyperlink ref="S285" r:id="rId404" xr:uid="{00000000-0004-0000-0200-000093010000}"/>
    <hyperlink ref="G287" r:id="rId405" xr:uid="{00000000-0004-0000-0200-000094010000}"/>
    <hyperlink ref="G288" r:id="rId406" xr:uid="{00000000-0004-0000-0200-000095010000}"/>
    <hyperlink ref="S289" r:id="rId407" xr:uid="{00000000-0004-0000-0200-000096010000}"/>
    <hyperlink ref="F290" r:id="rId408" xr:uid="{00000000-0004-0000-0200-000097010000}"/>
    <hyperlink ref="F291" r:id="rId409" xr:uid="{00000000-0004-0000-0200-000098010000}"/>
    <hyperlink ref="F292" r:id="rId410" xr:uid="{00000000-0004-0000-0200-000099010000}"/>
    <hyperlink ref="G292" r:id="rId411" xr:uid="{00000000-0004-0000-0200-00009A010000}"/>
    <hyperlink ref="S292" r:id="rId412" location="!/GabrielMolinaVP/?ref=bookmarks" xr:uid="{00000000-0004-0000-0200-00009B010000}"/>
    <hyperlink ref="G293" r:id="rId413" xr:uid="{00000000-0004-0000-0200-00009C010000}"/>
    <hyperlink ref="F295" r:id="rId414" xr:uid="{00000000-0004-0000-0200-00009D010000}"/>
    <hyperlink ref="G295" r:id="rId415" xr:uid="{00000000-0004-0000-0200-00009E010000}"/>
    <hyperlink ref="F296" r:id="rId416" location=".W_f0zJhkJE4.twitter" xr:uid="{00000000-0004-0000-0200-00009F010000}"/>
    <hyperlink ref="F297" r:id="rId417" location=".W_f0jZ4MEMg.twitter" xr:uid="{00000000-0004-0000-0200-0000A0010000}"/>
    <hyperlink ref="F298" r:id="rId418" xr:uid="{00000000-0004-0000-0200-0000A1010000}"/>
    <hyperlink ref="F300" r:id="rId419" xr:uid="{00000000-0004-0000-0200-0000A2010000}"/>
    <hyperlink ref="G300" r:id="rId420" xr:uid="{00000000-0004-0000-0200-0000A3010000}"/>
    <hyperlink ref="S300" r:id="rId421" xr:uid="{00000000-0004-0000-0200-0000A4010000}"/>
    <hyperlink ref="F301" r:id="rId422" xr:uid="{00000000-0004-0000-0200-0000A5010000}"/>
    <hyperlink ref="G302" r:id="rId423" xr:uid="{00000000-0004-0000-0200-0000A6010000}"/>
    <hyperlink ref="G303" r:id="rId424" xr:uid="{00000000-0004-0000-0200-0000A7010000}"/>
    <hyperlink ref="S303" r:id="rId425" xr:uid="{00000000-0004-0000-0200-0000A8010000}"/>
    <hyperlink ref="F304" r:id="rId426" xr:uid="{00000000-0004-0000-0200-0000A9010000}"/>
    <hyperlink ref="F305" r:id="rId427" xr:uid="{00000000-0004-0000-0200-0000AA010000}"/>
    <hyperlink ref="G305" r:id="rId428" xr:uid="{00000000-0004-0000-0200-0000AB010000}"/>
    <hyperlink ref="S305" r:id="rId429" xr:uid="{00000000-0004-0000-0200-0000AC010000}"/>
    <hyperlink ref="G306" r:id="rId430" xr:uid="{00000000-0004-0000-0200-0000AD010000}"/>
    <hyperlink ref="S306" r:id="rId431" xr:uid="{00000000-0004-0000-0200-0000AE010000}"/>
    <hyperlink ref="F307" r:id="rId432" xr:uid="{00000000-0004-0000-0200-0000AF010000}"/>
    <hyperlink ref="G307" r:id="rId433" xr:uid="{00000000-0004-0000-0200-0000B0010000}"/>
    <hyperlink ref="G308" r:id="rId434" xr:uid="{00000000-0004-0000-0200-0000B1010000}"/>
    <hyperlink ref="G309" r:id="rId435" xr:uid="{00000000-0004-0000-0200-0000B2010000}"/>
    <hyperlink ref="S309" r:id="rId436" xr:uid="{00000000-0004-0000-0200-0000B3010000}"/>
    <hyperlink ref="F310" r:id="rId437" xr:uid="{00000000-0004-0000-0200-0000B4010000}"/>
    <hyperlink ref="S310" r:id="rId438" xr:uid="{00000000-0004-0000-0200-0000B5010000}"/>
    <hyperlink ref="F311" r:id="rId439" xr:uid="{00000000-0004-0000-0200-0000B6010000}"/>
    <hyperlink ref="G311" r:id="rId440" xr:uid="{00000000-0004-0000-0200-0000B7010000}"/>
    <hyperlink ref="S311" r:id="rId441" xr:uid="{00000000-0004-0000-0200-0000B8010000}"/>
    <hyperlink ref="F313" r:id="rId442" xr:uid="{00000000-0004-0000-0200-0000B9010000}"/>
    <hyperlink ref="F314" r:id="rId443" xr:uid="{00000000-0004-0000-0200-0000BA010000}"/>
    <hyperlink ref="S314" r:id="rId444" xr:uid="{00000000-0004-0000-0200-0000BB010000}"/>
    <hyperlink ref="F315" r:id="rId445" xr:uid="{00000000-0004-0000-0200-0000BC010000}"/>
    <hyperlink ref="F316" r:id="rId446" xr:uid="{00000000-0004-0000-0200-0000BD010000}"/>
    <hyperlink ref="F317" r:id="rId447" xr:uid="{00000000-0004-0000-0200-0000BE010000}"/>
    <hyperlink ref="S317" r:id="rId448" xr:uid="{00000000-0004-0000-0200-0000BF010000}"/>
    <hyperlink ref="G318" r:id="rId449" xr:uid="{00000000-0004-0000-0200-0000C0010000}"/>
    <hyperlink ref="F319" r:id="rId450" xr:uid="{00000000-0004-0000-0200-0000C1010000}"/>
    <hyperlink ref="G319" r:id="rId451" xr:uid="{00000000-0004-0000-0200-0000C2010000}"/>
    <hyperlink ref="S319" r:id="rId452" xr:uid="{00000000-0004-0000-0200-0000C3010000}"/>
    <hyperlink ref="G320" r:id="rId453" xr:uid="{00000000-0004-0000-0200-0000C4010000}"/>
    <hyperlink ref="S320" r:id="rId454" xr:uid="{00000000-0004-0000-0200-0000C5010000}"/>
    <hyperlink ref="F321" r:id="rId455" xr:uid="{00000000-0004-0000-0200-0000C6010000}"/>
    <hyperlink ref="G321" r:id="rId456" xr:uid="{00000000-0004-0000-0200-0000C7010000}"/>
    <hyperlink ref="G322" r:id="rId457" xr:uid="{00000000-0004-0000-0200-0000C8010000}"/>
    <hyperlink ref="F324" r:id="rId458" xr:uid="{00000000-0004-0000-0200-0000C9010000}"/>
    <hyperlink ref="F325" r:id="rId459" xr:uid="{00000000-0004-0000-0200-0000CA010000}"/>
    <hyperlink ref="S325" r:id="rId460" xr:uid="{00000000-0004-0000-0200-0000CB010000}"/>
    <hyperlink ref="F326" r:id="rId461" xr:uid="{00000000-0004-0000-0200-0000CC010000}"/>
    <hyperlink ref="G327" r:id="rId462" xr:uid="{00000000-0004-0000-0200-0000CD010000}"/>
    <hyperlink ref="S327" r:id="rId463" xr:uid="{00000000-0004-0000-0200-0000CE010000}"/>
    <hyperlink ref="F328" r:id="rId464" xr:uid="{00000000-0004-0000-0200-0000CF010000}"/>
    <hyperlink ref="G328" r:id="rId465" xr:uid="{00000000-0004-0000-0200-0000D0010000}"/>
    <hyperlink ref="S328" r:id="rId466" xr:uid="{00000000-0004-0000-0200-0000D1010000}"/>
    <hyperlink ref="F329" r:id="rId467" xr:uid="{00000000-0004-0000-0200-0000D2010000}"/>
    <hyperlink ref="G330" r:id="rId468" xr:uid="{00000000-0004-0000-0200-0000D3010000}"/>
    <hyperlink ref="F331" r:id="rId469" xr:uid="{00000000-0004-0000-0200-0000D4010000}"/>
    <hyperlink ref="G332" r:id="rId470" xr:uid="{00000000-0004-0000-0200-0000D5010000}"/>
    <hyperlink ref="F333" r:id="rId471" xr:uid="{00000000-0004-0000-0200-0000D6010000}"/>
    <hyperlink ref="G333" r:id="rId472" xr:uid="{00000000-0004-0000-0200-0000D7010000}"/>
    <hyperlink ref="S333" r:id="rId473" xr:uid="{00000000-0004-0000-0200-0000D8010000}"/>
    <hyperlink ref="G334" r:id="rId474" xr:uid="{00000000-0004-0000-0200-0000D9010000}"/>
    <hyperlink ref="S334" r:id="rId475" xr:uid="{00000000-0004-0000-0200-0000DA010000}"/>
    <hyperlink ref="G335" r:id="rId476" xr:uid="{00000000-0004-0000-0200-0000DB010000}"/>
    <hyperlink ref="C336" r:id="rId477" xr:uid="{00000000-0004-0000-0200-0000DC010000}"/>
    <hyperlink ref="F336" r:id="rId478" xr:uid="{00000000-0004-0000-0200-0000DD010000}"/>
    <hyperlink ref="S336" r:id="rId479" xr:uid="{00000000-0004-0000-0200-0000DE010000}"/>
    <hyperlink ref="G337" r:id="rId480" xr:uid="{00000000-0004-0000-0200-0000DF010000}"/>
    <hyperlink ref="S337" r:id="rId481" xr:uid="{00000000-0004-0000-0200-0000E0010000}"/>
    <hyperlink ref="F338" r:id="rId482" xr:uid="{00000000-0004-0000-0200-0000E1010000}"/>
    <hyperlink ref="F339" r:id="rId483" xr:uid="{00000000-0004-0000-0200-0000E2010000}"/>
    <hyperlink ref="G339" r:id="rId484" xr:uid="{00000000-0004-0000-0200-0000E3010000}"/>
    <hyperlink ref="S339" r:id="rId485" xr:uid="{00000000-0004-0000-0200-0000E4010000}"/>
    <hyperlink ref="F340" r:id="rId486" xr:uid="{00000000-0004-0000-0200-0000E5010000}"/>
    <hyperlink ref="F341" r:id="rId487" xr:uid="{00000000-0004-0000-0200-0000E6010000}"/>
    <hyperlink ref="F342" r:id="rId488" xr:uid="{00000000-0004-0000-0200-0000E7010000}"/>
    <hyperlink ref="S342" r:id="rId489" xr:uid="{00000000-0004-0000-0200-0000E8010000}"/>
    <hyperlink ref="F343" r:id="rId490" xr:uid="{00000000-0004-0000-0200-0000E9010000}"/>
    <hyperlink ref="S343" r:id="rId491" xr:uid="{00000000-0004-0000-0200-0000EA010000}"/>
    <hyperlink ref="G345" r:id="rId492" xr:uid="{00000000-0004-0000-0200-0000EB010000}"/>
    <hyperlink ref="F346" r:id="rId493" xr:uid="{00000000-0004-0000-0200-0000EC010000}"/>
    <hyperlink ref="G347" r:id="rId494" xr:uid="{00000000-0004-0000-0200-0000ED010000}"/>
    <hyperlink ref="G348" r:id="rId495" xr:uid="{00000000-0004-0000-0200-0000EE010000}"/>
    <hyperlink ref="G349" r:id="rId496" xr:uid="{00000000-0004-0000-0200-0000EF010000}"/>
    <hyperlink ref="F352" r:id="rId497" xr:uid="{00000000-0004-0000-0200-0000F0010000}"/>
    <hyperlink ref="S352" r:id="rId498" xr:uid="{00000000-0004-0000-0200-0000F1010000}"/>
    <hyperlink ref="F353" r:id="rId499" xr:uid="{00000000-0004-0000-0200-0000F2010000}"/>
    <hyperlink ref="G353" r:id="rId500" xr:uid="{00000000-0004-0000-0200-0000F3010000}"/>
    <hyperlink ref="G354" r:id="rId501" xr:uid="{00000000-0004-0000-0200-0000F4010000}"/>
    <hyperlink ref="S354" r:id="rId502" xr:uid="{00000000-0004-0000-0200-0000F5010000}"/>
    <hyperlink ref="G355" r:id="rId503" xr:uid="{00000000-0004-0000-0200-0000F6010000}"/>
    <hyperlink ref="S355" r:id="rId504" xr:uid="{00000000-0004-0000-0200-0000F7010000}"/>
    <hyperlink ref="F356" r:id="rId505" xr:uid="{00000000-0004-0000-0200-0000F8010000}"/>
    <hyperlink ref="G356" r:id="rId506" xr:uid="{00000000-0004-0000-0200-0000F9010000}"/>
    <hyperlink ref="S356" r:id="rId507" xr:uid="{00000000-0004-0000-0200-0000FA010000}"/>
    <hyperlink ref="G358" r:id="rId508" xr:uid="{00000000-0004-0000-0200-0000FB010000}"/>
    <hyperlink ref="S358" r:id="rId509" xr:uid="{00000000-0004-0000-0200-0000FC010000}"/>
    <hyperlink ref="G359" r:id="rId510" xr:uid="{00000000-0004-0000-0200-0000FD010000}"/>
    <hyperlink ref="F360" r:id="rId511" xr:uid="{00000000-0004-0000-0200-0000FE010000}"/>
    <hyperlink ref="S360" r:id="rId512" xr:uid="{00000000-0004-0000-0200-0000FF010000}"/>
    <hyperlink ref="F361" r:id="rId513" xr:uid="{00000000-0004-0000-0200-000000020000}"/>
    <hyperlink ref="S361" r:id="rId514" xr:uid="{00000000-0004-0000-0200-000001020000}"/>
    <hyperlink ref="F362" r:id="rId515" xr:uid="{00000000-0004-0000-0200-000002020000}"/>
    <hyperlink ref="G362" r:id="rId516" xr:uid="{00000000-0004-0000-0200-000003020000}"/>
    <hyperlink ref="S362" r:id="rId517" xr:uid="{00000000-0004-0000-0200-000004020000}"/>
    <hyperlink ref="G363" r:id="rId518" xr:uid="{00000000-0004-0000-0200-000005020000}"/>
    <hyperlink ref="S363" r:id="rId519" xr:uid="{00000000-0004-0000-0200-000006020000}"/>
    <hyperlink ref="G364" r:id="rId520" xr:uid="{00000000-0004-0000-0200-000007020000}"/>
    <hyperlink ref="S364" r:id="rId521" xr:uid="{00000000-0004-0000-0200-000008020000}"/>
    <hyperlink ref="S365" r:id="rId522" xr:uid="{00000000-0004-0000-0200-000009020000}"/>
    <hyperlink ref="G366" r:id="rId523" xr:uid="{00000000-0004-0000-0200-00000A020000}"/>
    <hyperlink ref="F367" r:id="rId524" xr:uid="{00000000-0004-0000-0200-00000B020000}"/>
    <hyperlink ref="G367" r:id="rId525" xr:uid="{00000000-0004-0000-0200-00000C020000}"/>
    <hyperlink ref="S367" r:id="rId526" xr:uid="{00000000-0004-0000-0200-00000D020000}"/>
    <hyperlink ref="G368" r:id="rId527" xr:uid="{00000000-0004-0000-0200-00000E020000}"/>
    <hyperlink ref="S368" r:id="rId528" xr:uid="{00000000-0004-0000-0200-00000F020000}"/>
    <hyperlink ref="G369" r:id="rId529" xr:uid="{00000000-0004-0000-0200-000010020000}"/>
    <hyperlink ref="G370" r:id="rId530" xr:uid="{00000000-0004-0000-0200-000011020000}"/>
    <hyperlink ref="F371" r:id="rId531" xr:uid="{00000000-0004-0000-0200-000012020000}"/>
    <hyperlink ref="S371" r:id="rId532" xr:uid="{00000000-0004-0000-0200-000013020000}"/>
    <hyperlink ref="G372" r:id="rId533" xr:uid="{00000000-0004-0000-0200-000014020000}"/>
    <hyperlink ref="S372" r:id="rId534" xr:uid="{00000000-0004-0000-0200-000015020000}"/>
    <hyperlink ref="G373" r:id="rId535" xr:uid="{00000000-0004-0000-0200-000016020000}"/>
    <hyperlink ref="F374" r:id="rId536" xr:uid="{00000000-0004-0000-0200-000017020000}"/>
    <hyperlink ref="S374" r:id="rId537" xr:uid="{00000000-0004-0000-0200-000018020000}"/>
    <hyperlink ref="G375" r:id="rId538" xr:uid="{00000000-0004-0000-0200-000019020000}"/>
    <hyperlink ref="F376" r:id="rId539" xr:uid="{00000000-0004-0000-0200-00001A020000}"/>
    <hyperlink ref="S376" r:id="rId540" xr:uid="{00000000-0004-0000-0200-00001B020000}"/>
    <hyperlink ref="F378" r:id="rId541" xr:uid="{00000000-0004-0000-0200-00001C020000}"/>
    <hyperlink ref="S378" r:id="rId542" xr:uid="{00000000-0004-0000-0200-00001D020000}"/>
    <hyperlink ref="F379" r:id="rId543" xr:uid="{00000000-0004-0000-0200-00001E020000}"/>
    <hyperlink ref="F380" r:id="rId544" xr:uid="{00000000-0004-0000-0200-00001F020000}"/>
    <hyperlink ref="F381" r:id="rId545" xr:uid="{00000000-0004-0000-0200-000020020000}"/>
    <hyperlink ref="G381" r:id="rId546" xr:uid="{00000000-0004-0000-0200-000021020000}"/>
    <hyperlink ref="S381" r:id="rId547" xr:uid="{00000000-0004-0000-0200-000022020000}"/>
    <hyperlink ref="F382" r:id="rId548" xr:uid="{00000000-0004-0000-0200-000023020000}"/>
    <hyperlink ref="S382" r:id="rId549" xr:uid="{00000000-0004-0000-0200-000024020000}"/>
    <hyperlink ref="S383" r:id="rId550" xr:uid="{00000000-0004-0000-0200-000025020000}"/>
    <hyperlink ref="F384" r:id="rId551" xr:uid="{00000000-0004-0000-0200-000026020000}"/>
    <hyperlink ref="G384" r:id="rId552" xr:uid="{00000000-0004-0000-0200-000027020000}"/>
    <hyperlink ref="S384" r:id="rId553" xr:uid="{00000000-0004-0000-0200-000028020000}"/>
    <hyperlink ref="S386" r:id="rId554" xr:uid="{00000000-0004-0000-0200-000029020000}"/>
    <hyperlink ref="F387" r:id="rId555" xr:uid="{00000000-0004-0000-0200-00002A020000}"/>
    <hyperlink ref="F388" r:id="rId556" xr:uid="{00000000-0004-0000-0200-00002B020000}"/>
    <hyperlink ref="F390" r:id="rId557" xr:uid="{00000000-0004-0000-0200-00002C020000}"/>
    <hyperlink ref="F391" r:id="rId558" xr:uid="{00000000-0004-0000-0200-00002D020000}"/>
    <hyperlink ref="S391" r:id="rId559" xr:uid="{00000000-0004-0000-0200-00002E020000}"/>
    <hyperlink ref="G392" r:id="rId560" xr:uid="{00000000-0004-0000-0200-00002F020000}"/>
    <hyperlink ref="S392" r:id="rId561" xr:uid="{00000000-0004-0000-0200-000030020000}"/>
    <hyperlink ref="F393" r:id="rId562" xr:uid="{00000000-0004-0000-0200-000031020000}"/>
    <hyperlink ref="S393" r:id="rId563" xr:uid="{00000000-0004-0000-0200-000032020000}"/>
    <hyperlink ref="F394" r:id="rId564" xr:uid="{00000000-0004-0000-0200-000033020000}"/>
    <hyperlink ref="S394" r:id="rId565" xr:uid="{00000000-0004-0000-0200-000034020000}"/>
    <hyperlink ref="F395" r:id="rId566" location="ns_campaign=rrss-inducido&amp;ns_mchannel=abc-es&amp;ns_source=tw&amp;ns_linkname=noticia-foto&amp;ns_fee=0" xr:uid="{00000000-0004-0000-0200-000035020000}"/>
    <hyperlink ref="F396" r:id="rId567" xr:uid="{00000000-0004-0000-0200-000036020000}"/>
    <hyperlink ref="F397" r:id="rId568" xr:uid="{00000000-0004-0000-0200-000037020000}"/>
    <hyperlink ref="F398" r:id="rId569" xr:uid="{00000000-0004-0000-0200-000038020000}"/>
    <hyperlink ref="G398" r:id="rId570" xr:uid="{00000000-0004-0000-0200-000039020000}"/>
    <hyperlink ref="S398" r:id="rId571" xr:uid="{00000000-0004-0000-0200-00003A020000}"/>
    <hyperlink ref="F399" r:id="rId572" xr:uid="{00000000-0004-0000-0200-00003B020000}"/>
    <hyperlink ref="F400" r:id="rId573" xr:uid="{00000000-0004-0000-0200-00003C020000}"/>
    <hyperlink ref="S400" r:id="rId574" xr:uid="{00000000-0004-0000-0200-00003D020000}"/>
    <hyperlink ref="F402" r:id="rId575" xr:uid="{00000000-0004-0000-0200-00003E020000}"/>
    <hyperlink ref="S402" r:id="rId576" xr:uid="{00000000-0004-0000-0200-00003F020000}"/>
    <hyperlink ref="F404" r:id="rId577" xr:uid="{00000000-0004-0000-0200-000040020000}"/>
    <hyperlink ref="S404" r:id="rId578" xr:uid="{00000000-0004-0000-0200-000041020000}"/>
    <hyperlink ref="F406" r:id="rId579" xr:uid="{00000000-0004-0000-0200-000042020000}"/>
    <hyperlink ref="F407" r:id="rId580" xr:uid="{00000000-0004-0000-0200-000043020000}"/>
    <hyperlink ref="F408" r:id="rId581" xr:uid="{00000000-0004-0000-0200-000044020000}"/>
    <hyperlink ref="S408" r:id="rId582" xr:uid="{00000000-0004-0000-0200-000045020000}"/>
    <hyperlink ref="F410" r:id="rId583" xr:uid="{00000000-0004-0000-0200-000046020000}"/>
    <hyperlink ref="S410" r:id="rId584" xr:uid="{00000000-0004-0000-0200-000047020000}"/>
    <hyperlink ref="F412" r:id="rId585" xr:uid="{00000000-0004-0000-0200-000048020000}"/>
    <hyperlink ref="F415" r:id="rId586" xr:uid="{00000000-0004-0000-0200-000049020000}"/>
    <hyperlink ref="G415" r:id="rId587" xr:uid="{00000000-0004-0000-0200-00004A020000}"/>
    <hyperlink ref="S415" r:id="rId588" xr:uid="{00000000-0004-0000-0200-00004B020000}"/>
    <hyperlink ref="F416" r:id="rId589" xr:uid="{00000000-0004-0000-0200-00004C020000}"/>
    <hyperlink ref="S416" r:id="rId590" xr:uid="{00000000-0004-0000-0200-00004D020000}"/>
    <hyperlink ref="F417" r:id="rId591" xr:uid="{00000000-0004-0000-0200-00004E020000}"/>
    <hyperlink ref="F418" r:id="rId592" xr:uid="{00000000-0004-0000-0200-00004F020000}"/>
    <hyperlink ref="F419" r:id="rId593" xr:uid="{00000000-0004-0000-0200-000050020000}"/>
    <hyperlink ref="S419" r:id="rId594" xr:uid="{00000000-0004-0000-0200-000051020000}"/>
    <hyperlink ref="F420" r:id="rId595" xr:uid="{00000000-0004-0000-0200-000052020000}"/>
    <hyperlink ref="G420" r:id="rId596" xr:uid="{00000000-0004-0000-0200-000053020000}"/>
    <hyperlink ref="F422" r:id="rId597" xr:uid="{00000000-0004-0000-0200-000054020000}"/>
    <hyperlink ref="S422" r:id="rId598" xr:uid="{00000000-0004-0000-0200-000055020000}"/>
    <hyperlink ref="F423" r:id="rId599" xr:uid="{00000000-0004-0000-0200-000056020000}"/>
    <hyperlink ref="F424" r:id="rId600" xr:uid="{00000000-0004-0000-0200-000057020000}"/>
    <hyperlink ref="S424" r:id="rId601" xr:uid="{00000000-0004-0000-0200-000058020000}"/>
    <hyperlink ref="F425" r:id="rId602" xr:uid="{00000000-0004-0000-0200-000059020000}"/>
    <hyperlink ref="S425" r:id="rId603" xr:uid="{00000000-0004-0000-0200-00005A020000}"/>
    <hyperlink ref="F426" r:id="rId604" xr:uid="{00000000-0004-0000-0200-00005B020000}"/>
    <hyperlink ref="S426" r:id="rId605" xr:uid="{00000000-0004-0000-0200-00005C020000}"/>
    <hyperlink ref="F427" r:id="rId606" location=".W_fhAytaK4k.twitter" xr:uid="{00000000-0004-0000-0200-00005D020000}"/>
    <hyperlink ref="S427" r:id="rId607" xr:uid="{00000000-0004-0000-0200-00005E020000}"/>
    <hyperlink ref="F428" r:id="rId608" xr:uid="{00000000-0004-0000-0200-00005F020000}"/>
    <hyperlink ref="S428" r:id="rId609" xr:uid="{00000000-0004-0000-0200-000060020000}"/>
    <hyperlink ref="G429" r:id="rId610" xr:uid="{00000000-0004-0000-0200-000061020000}"/>
    <hyperlink ref="F430" r:id="rId611" location=".W_fg2fcn_Ws.twitter" xr:uid="{00000000-0004-0000-0200-000062020000}"/>
    <hyperlink ref="S430" r:id="rId612" xr:uid="{00000000-0004-0000-0200-000063020000}"/>
    <hyperlink ref="S431" r:id="rId613" xr:uid="{00000000-0004-0000-0200-000064020000}"/>
    <hyperlink ref="F433" r:id="rId614" xr:uid="{00000000-0004-0000-0200-000065020000}"/>
    <hyperlink ref="S433" r:id="rId615" xr:uid="{00000000-0004-0000-0200-000066020000}"/>
    <hyperlink ref="F434" r:id="rId616" xr:uid="{00000000-0004-0000-0200-000067020000}"/>
    <hyperlink ref="G434" r:id="rId617" xr:uid="{00000000-0004-0000-0200-000068020000}"/>
    <hyperlink ref="S434" r:id="rId618" xr:uid="{00000000-0004-0000-0200-000069020000}"/>
    <hyperlink ref="G435" r:id="rId619" xr:uid="{00000000-0004-0000-0200-00006A020000}"/>
    <hyperlink ref="S436" r:id="rId620" xr:uid="{00000000-0004-0000-0200-00006B020000}"/>
    <hyperlink ref="F437" r:id="rId621" xr:uid="{00000000-0004-0000-0200-00006C020000}"/>
    <hyperlink ref="G437" r:id="rId622" xr:uid="{00000000-0004-0000-0200-00006D020000}"/>
    <hyperlink ref="S437" r:id="rId623" xr:uid="{00000000-0004-0000-0200-00006E020000}"/>
    <hyperlink ref="F438" r:id="rId624" xr:uid="{00000000-0004-0000-0200-00006F020000}"/>
    <hyperlink ref="G438" r:id="rId625" xr:uid="{00000000-0004-0000-0200-000070020000}"/>
    <hyperlink ref="S438" r:id="rId626" xr:uid="{00000000-0004-0000-0200-000071020000}"/>
    <hyperlink ref="F439" r:id="rId627" xr:uid="{00000000-0004-0000-0200-000072020000}"/>
    <hyperlink ref="S439" r:id="rId628" xr:uid="{00000000-0004-0000-0200-000073020000}"/>
    <hyperlink ref="F440" r:id="rId629" xr:uid="{00000000-0004-0000-0200-000074020000}"/>
    <hyperlink ref="G440" r:id="rId630" xr:uid="{00000000-0004-0000-0200-000075020000}"/>
    <hyperlink ref="S440" r:id="rId631" xr:uid="{00000000-0004-0000-0200-000076020000}"/>
    <hyperlink ref="F441" r:id="rId632" xr:uid="{00000000-0004-0000-0200-000077020000}"/>
    <hyperlink ref="F442" r:id="rId633" xr:uid="{00000000-0004-0000-0200-000078020000}"/>
    <hyperlink ref="S442" r:id="rId634" xr:uid="{00000000-0004-0000-0200-000079020000}"/>
    <hyperlink ref="F443" r:id="rId635" xr:uid="{00000000-0004-0000-0200-00007A020000}"/>
    <hyperlink ref="S443" r:id="rId636" xr:uid="{00000000-0004-0000-0200-00007B020000}"/>
    <hyperlink ref="F447" r:id="rId637" xr:uid="{00000000-0004-0000-0200-00007C020000}"/>
    <hyperlink ref="S447" r:id="rId638" xr:uid="{00000000-0004-0000-0200-00007D020000}"/>
    <hyperlink ref="G448" r:id="rId639" xr:uid="{00000000-0004-0000-0200-00007E020000}"/>
    <hyperlink ref="F449" r:id="rId640" xr:uid="{00000000-0004-0000-0200-00007F020000}"/>
    <hyperlink ref="F450" r:id="rId641" xr:uid="{00000000-0004-0000-0200-000080020000}"/>
    <hyperlink ref="S450" r:id="rId642" xr:uid="{00000000-0004-0000-0200-000081020000}"/>
    <hyperlink ref="F451" r:id="rId643" xr:uid="{00000000-0004-0000-0200-000082020000}"/>
    <hyperlink ref="F452" r:id="rId644" xr:uid="{00000000-0004-0000-0200-000083020000}"/>
    <hyperlink ref="F453" r:id="rId645" xr:uid="{00000000-0004-0000-0200-000084020000}"/>
    <hyperlink ref="S453" r:id="rId646" xr:uid="{00000000-0004-0000-0200-000085020000}"/>
    <hyperlink ref="F454" r:id="rId647" xr:uid="{00000000-0004-0000-0200-000086020000}"/>
    <hyperlink ref="S454" r:id="rId648" xr:uid="{00000000-0004-0000-0200-000087020000}"/>
    <hyperlink ref="F455" r:id="rId649" xr:uid="{00000000-0004-0000-0200-000088020000}"/>
    <hyperlink ref="S455" r:id="rId650" xr:uid="{00000000-0004-0000-0200-000089020000}"/>
    <hyperlink ref="F456" r:id="rId651" location=".W_fdsd2FTFU.twitter" xr:uid="{00000000-0004-0000-0200-00008A020000}"/>
    <hyperlink ref="S456" r:id="rId652" xr:uid="{00000000-0004-0000-0200-00008B020000}"/>
    <hyperlink ref="F457" r:id="rId653" location=".W_fdeZzBGaE.twitter" xr:uid="{00000000-0004-0000-0200-00008C020000}"/>
    <hyperlink ref="S457" r:id="rId654" xr:uid="{00000000-0004-0000-0200-00008D020000}"/>
    <hyperlink ref="G458" r:id="rId655" xr:uid="{00000000-0004-0000-0200-00008E020000}"/>
    <hyperlink ref="S458" r:id="rId656" xr:uid="{00000000-0004-0000-0200-00008F020000}"/>
    <hyperlink ref="F459" r:id="rId657" xr:uid="{00000000-0004-0000-0200-000090020000}"/>
    <hyperlink ref="G459" r:id="rId658" xr:uid="{00000000-0004-0000-0200-000091020000}"/>
    <hyperlink ref="S459" r:id="rId659" xr:uid="{00000000-0004-0000-0200-000092020000}"/>
    <hyperlink ref="F462" r:id="rId660" xr:uid="{00000000-0004-0000-0200-000093020000}"/>
    <hyperlink ref="F464" r:id="rId661" xr:uid="{00000000-0004-0000-0200-000094020000}"/>
    <hyperlink ref="F465" r:id="rId662" xr:uid="{00000000-0004-0000-0200-000095020000}"/>
    <hyperlink ref="S465" r:id="rId663" xr:uid="{00000000-0004-0000-0200-000096020000}"/>
    <hyperlink ref="F466" r:id="rId664" xr:uid="{00000000-0004-0000-0200-000097020000}"/>
    <hyperlink ref="F467" r:id="rId665" xr:uid="{00000000-0004-0000-0200-000098020000}"/>
    <hyperlink ref="G467" r:id="rId666" xr:uid="{00000000-0004-0000-0200-000099020000}"/>
    <hyperlink ref="F468" r:id="rId667" xr:uid="{00000000-0004-0000-0200-00009A020000}"/>
    <hyperlink ref="F470" r:id="rId668" xr:uid="{00000000-0004-0000-0200-00009B020000}"/>
    <hyperlink ref="F471" r:id="rId669" xr:uid="{00000000-0004-0000-0200-00009C020000}"/>
    <hyperlink ref="F472" r:id="rId670" xr:uid="{00000000-0004-0000-0200-00009D020000}"/>
    <hyperlink ref="F473" r:id="rId671" xr:uid="{00000000-0004-0000-0200-00009E020000}"/>
    <hyperlink ref="F474" r:id="rId672" xr:uid="{00000000-0004-0000-0200-00009F020000}"/>
    <hyperlink ref="G475" r:id="rId673" xr:uid="{00000000-0004-0000-0200-0000A0020000}"/>
    <hyperlink ref="F477" r:id="rId674" xr:uid="{00000000-0004-0000-0200-0000A1020000}"/>
    <hyperlink ref="S477" r:id="rId675" xr:uid="{00000000-0004-0000-0200-0000A2020000}"/>
    <hyperlink ref="F479" r:id="rId676" xr:uid="{00000000-0004-0000-0200-0000A3020000}"/>
    <hyperlink ref="F480" r:id="rId677" xr:uid="{00000000-0004-0000-0200-0000A4020000}"/>
    <hyperlink ref="S480" r:id="rId678" xr:uid="{00000000-0004-0000-0200-0000A5020000}"/>
    <hyperlink ref="F481" r:id="rId679" xr:uid="{00000000-0004-0000-0200-0000A6020000}"/>
    <hyperlink ref="S481" r:id="rId680" xr:uid="{00000000-0004-0000-0200-0000A7020000}"/>
    <hyperlink ref="S482" r:id="rId681" xr:uid="{00000000-0004-0000-0200-0000A8020000}"/>
    <hyperlink ref="F483" r:id="rId682" xr:uid="{00000000-0004-0000-0200-0000A9020000}"/>
    <hyperlink ref="S483" r:id="rId683" xr:uid="{00000000-0004-0000-0200-0000AA020000}"/>
    <hyperlink ref="F486" r:id="rId684" xr:uid="{00000000-0004-0000-0200-0000AB020000}"/>
    <hyperlink ref="F487" r:id="rId685" xr:uid="{00000000-0004-0000-0200-0000AC020000}"/>
    <hyperlink ref="S487" r:id="rId686" xr:uid="{00000000-0004-0000-0200-0000AD020000}"/>
    <hyperlink ref="F488" r:id="rId687" xr:uid="{00000000-0004-0000-0200-0000AE020000}"/>
    <hyperlink ref="F489" r:id="rId688" xr:uid="{00000000-0004-0000-0200-0000AF020000}"/>
    <hyperlink ref="S490" r:id="rId689" xr:uid="{00000000-0004-0000-0200-0000B0020000}"/>
    <hyperlink ref="F491" r:id="rId690" xr:uid="{00000000-0004-0000-0200-0000B1020000}"/>
    <hyperlink ref="S491" r:id="rId691" xr:uid="{00000000-0004-0000-0200-0000B2020000}"/>
    <hyperlink ref="F492" r:id="rId692" xr:uid="{00000000-0004-0000-0200-0000B3020000}"/>
    <hyperlink ref="F493" r:id="rId693" xr:uid="{00000000-0004-0000-0200-0000B4020000}"/>
    <hyperlink ref="S493" r:id="rId694" xr:uid="{00000000-0004-0000-0200-0000B5020000}"/>
    <hyperlink ref="F494" r:id="rId695" xr:uid="{00000000-0004-0000-0200-0000B6020000}"/>
    <hyperlink ref="F495" r:id="rId696" xr:uid="{00000000-0004-0000-0200-0000B7020000}"/>
    <hyperlink ref="S495" r:id="rId697" xr:uid="{00000000-0004-0000-0200-0000B8020000}"/>
    <hyperlink ref="F496" r:id="rId698" xr:uid="{00000000-0004-0000-0200-0000B9020000}"/>
    <hyperlink ref="S496" r:id="rId699" xr:uid="{00000000-0004-0000-0200-0000BA020000}"/>
    <hyperlink ref="F497" r:id="rId700" xr:uid="{00000000-0004-0000-0200-0000BB020000}"/>
    <hyperlink ref="S497" r:id="rId701" xr:uid="{00000000-0004-0000-0200-0000BC020000}"/>
    <hyperlink ref="F498" r:id="rId702" xr:uid="{00000000-0004-0000-0200-0000BD020000}"/>
    <hyperlink ref="F499" r:id="rId703" xr:uid="{00000000-0004-0000-0200-0000BE020000}"/>
    <hyperlink ref="S499" r:id="rId704" xr:uid="{00000000-0004-0000-0200-0000BF020000}"/>
    <hyperlink ref="F500" r:id="rId705" xr:uid="{00000000-0004-0000-0200-0000C0020000}"/>
    <hyperlink ref="S500" r:id="rId706" xr:uid="{00000000-0004-0000-0200-0000C1020000}"/>
    <hyperlink ref="F502" r:id="rId707" xr:uid="{00000000-0004-0000-0200-0000C2020000}"/>
    <hyperlink ref="G502" r:id="rId708" xr:uid="{00000000-0004-0000-0200-0000C3020000}"/>
    <hyperlink ref="S502" r:id="rId709" xr:uid="{00000000-0004-0000-0200-0000C4020000}"/>
    <hyperlink ref="F503" r:id="rId710" location="ns_campaign=rrss-inducido&amp;ns_mchannel=abc-es&amp;ns_source=tw&amp;ns_linkname=noticia-foto&amp;ns_fee=0" xr:uid="{00000000-0004-0000-0200-0000C5020000}"/>
    <hyperlink ref="F504" r:id="rId711" xr:uid="{00000000-0004-0000-0200-0000C6020000}"/>
    <hyperlink ref="F505" r:id="rId712" xr:uid="{00000000-0004-0000-0200-0000C7020000}"/>
    <hyperlink ref="F506" r:id="rId713" xr:uid="{00000000-0004-0000-0200-0000C8020000}"/>
    <hyperlink ref="F507" r:id="rId714" xr:uid="{00000000-0004-0000-0200-0000C9020000}"/>
    <hyperlink ref="F508" r:id="rId715" xr:uid="{00000000-0004-0000-0200-0000CA020000}"/>
    <hyperlink ref="G508" r:id="rId716" xr:uid="{00000000-0004-0000-0200-0000CB020000}"/>
    <hyperlink ref="S508" r:id="rId717" xr:uid="{00000000-0004-0000-0200-0000CC020000}"/>
    <hyperlink ref="F509" r:id="rId718" xr:uid="{00000000-0004-0000-0200-0000CD020000}"/>
    <hyperlink ref="F510" r:id="rId719" xr:uid="{00000000-0004-0000-0200-0000CE020000}"/>
    <hyperlink ref="F511" r:id="rId720" location="ns_campaign=rrss-inducido&amp;ns_mchannel=abc-es&amp;ns_source=tw&amp;ns_linkname=noticia-foto&amp;ns_fee=0" xr:uid="{00000000-0004-0000-0200-0000CF020000}"/>
    <hyperlink ref="F512" r:id="rId721" xr:uid="{00000000-0004-0000-0200-0000D0020000}"/>
    <hyperlink ref="F513" r:id="rId722" xr:uid="{00000000-0004-0000-0200-0000D1020000}"/>
    <hyperlink ref="S514" r:id="rId723" xr:uid="{00000000-0004-0000-0200-0000D2020000}"/>
    <hyperlink ref="F515" r:id="rId724" xr:uid="{00000000-0004-0000-0200-0000D3020000}"/>
    <hyperlink ref="F516" r:id="rId725" xr:uid="{00000000-0004-0000-0200-0000D4020000}"/>
    <hyperlink ref="F517" r:id="rId726" xr:uid="{00000000-0004-0000-0200-0000D5020000}"/>
    <hyperlink ref="F518" r:id="rId727" xr:uid="{00000000-0004-0000-0200-0000D6020000}"/>
    <hyperlink ref="S518" r:id="rId728" xr:uid="{00000000-0004-0000-0200-0000D7020000}"/>
    <hyperlink ref="F520" r:id="rId729" xr:uid="{00000000-0004-0000-0200-0000D8020000}"/>
    <hyperlink ref="G521" r:id="rId730" xr:uid="{00000000-0004-0000-0200-0000D9020000}"/>
    <hyperlink ref="S521" r:id="rId731" xr:uid="{00000000-0004-0000-0200-0000DA020000}"/>
    <hyperlink ref="F523" r:id="rId732" xr:uid="{00000000-0004-0000-0200-0000DB020000}"/>
    <hyperlink ref="S523" r:id="rId733" xr:uid="{00000000-0004-0000-0200-0000DC020000}"/>
    <hyperlink ref="F524" r:id="rId734" xr:uid="{00000000-0004-0000-0200-0000DD020000}"/>
    <hyperlink ref="F525" r:id="rId735" xr:uid="{00000000-0004-0000-0200-0000DE020000}"/>
    <hyperlink ref="F526" r:id="rId736" xr:uid="{00000000-0004-0000-0200-0000DF020000}"/>
    <hyperlink ref="S526" r:id="rId737" xr:uid="{00000000-0004-0000-0200-0000E0020000}"/>
    <hyperlink ref="F527" r:id="rId738" xr:uid="{00000000-0004-0000-0200-0000E1020000}"/>
    <hyperlink ref="F529" r:id="rId739" xr:uid="{00000000-0004-0000-0200-0000E2020000}"/>
    <hyperlink ref="F530" r:id="rId740" xr:uid="{00000000-0004-0000-0200-0000E3020000}"/>
    <hyperlink ref="G531" r:id="rId741" xr:uid="{00000000-0004-0000-0200-0000E4020000}"/>
    <hyperlink ref="F532" r:id="rId742" xr:uid="{00000000-0004-0000-0200-0000E5020000}"/>
    <hyperlink ref="S532" r:id="rId743" xr:uid="{00000000-0004-0000-0200-0000E6020000}"/>
    <hyperlink ref="G533" r:id="rId744" xr:uid="{00000000-0004-0000-0200-0000E7020000}"/>
    <hyperlink ref="F534" r:id="rId745" xr:uid="{00000000-0004-0000-0200-0000E8020000}"/>
    <hyperlink ref="F535" r:id="rId746" xr:uid="{00000000-0004-0000-0200-0000E9020000}"/>
    <hyperlink ref="S535" r:id="rId747" xr:uid="{00000000-0004-0000-0200-0000EA020000}"/>
    <hyperlink ref="F536" r:id="rId748" xr:uid="{00000000-0004-0000-0200-0000EB020000}"/>
    <hyperlink ref="S536" r:id="rId749" xr:uid="{00000000-0004-0000-0200-0000EC020000}"/>
    <hyperlink ref="F537" r:id="rId750" xr:uid="{00000000-0004-0000-0200-0000ED020000}"/>
    <hyperlink ref="F538" r:id="rId751" xr:uid="{00000000-0004-0000-0200-0000EE020000}"/>
    <hyperlink ref="G538" r:id="rId752" xr:uid="{00000000-0004-0000-0200-0000EF020000}"/>
    <hyperlink ref="S538" r:id="rId753" xr:uid="{00000000-0004-0000-0200-0000F0020000}"/>
    <hyperlink ref="F539" r:id="rId754" xr:uid="{00000000-0004-0000-0200-0000F1020000}"/>
    <hyperlink ref="G539" r:id="rId755" xr:uid="{00000000-0004-0000-0200-0000F2020000}"/>
    <hyperlink ref="S539" r:id="rId756" xr:uid="{00000000-0004-0000-0200-0000F3020000}"/>
    <hyperlink ref="F540" r:id="rId757" xr:uid="{00000000-0004-0000-0200-0000F4020000}"/>
    <hyperlink ref="S540" r:id="rId758" xr:uid="{00000000-0004-0000-0200-0000F5020000}"/>
    <hyperlink ref="F541" r:id="rId759" xr:uid="{00000000-0004-0000-0200-0000F6020000}"/>
    <hyperlink ref="S541" r:id="rId760" xr:uid="{00000000-0004-0000-0200-0000F7020000}"/>
    <hyperlink ref="F542" r:id="rId761" location="ns_campaign=rrss-inducido&amp;ns_mchannel=abc-es&amp;ns_source=tw&amp;ns_linkname=noticia-foto&amp;ns_fee=0" xr:uid="{00000000-0004-0000-0200-0000F8020000}"/>
    <hyperlink ref="S542" r:id="rId762" xr:uid="{00000000-0004-0000-0200-0000F9020000}"/>
    <hyperlink ref="F543" r:id="rId763" xr:uid="{00000000-0004-0000-0200-0000FA020000}"/>
    <hyperlink ref="S543" r:id="rId764" xr:uid="{00000000-0004-0000-0200-0000FB020000}"/>
    <hyperlink ref="F544" r:id="rId765" xr:uid="{00000000-0004-0000-0200-0000FC020000}"/>
    <hyperlink ref="F545" r:id="rId766" xr:uid="{00000000-0004-0000-0200-0000FD020000}"/>
    <hyperlink ref="S546" r:id="rId767" xr:uid="{00000000-0004-0000-0200-0000FE020000}"/>
    <hyperlink ref="F547" r:id="rId768" xr:uid="{00000000-0004-0000-0200-0000FF020000}"/>
    <hyperlink ref="S547" r:id="rId769" xr:uid="{00000000-0004-0000-0200-000000030000}"/>
    <hyperlink ref="F548" r:id="rId770" xr:uid="{00000000-0004-0000-0200-000001030000}"/>
    <hyperlink ref="S548" r:id="rId771" xr:uid="{00000000-0004-0000-0200-000002030000}"/>
    <hyperlink ref="F549" r:id="rId772" xr:uid="{00000000-0004-0000-0200-000003030000}"/>
    <hyperlink ref="G549" r:id="rId773" xr:uid="{00000000-0004-0000-0200-000004030000}"/>
    <hyperlink ref="F550" r:id="rId774" xr:uid="{00000000-0004-0000-0200-000005030000}"/>
    <hyperlink ref="F551" r:id="rId775" xr:uid="{00000000-0004-0000-0200-000006030000}"/>
    <hyperlink ref="S551" r:id="rId776" xr:uid="{00000000-0004-0000-0200-000007030000}"/>
    <hyperlink ref="G552" r:id="rId777" xr:uid="{00000000-0004-0000-0200-000008030000}"/>
    <hyperlink ref="F553" r:id="rId778" xr:uid="{00000000-0004-0000-0200-000009030000}"/>
    <hyperlink ref="S553" r:id="rId779" xr:uid="{00000000-0004-0000-0200-00000A030000}"/>
    <hyperlink ref="G554" r:id="rId780" xr:uid="{00000000-0004-0000-0200-00000B030000}"/>
    <hyperlink ref="F555" r:id="rId781" location=".W_fPJVehOFo.twitter" xr:uid="{00000000-0004-0000-0200-00000C030000}"/>
    <hyperlink ref="F557" r:id="rId782" xr:uid="{00000000-0004-0000-0200-00000D030000}"/>
    <hyperlink ref="G557" r:id="rId783" xr:uid="{00000000-0004-0000-0200-00000E030000}"/>
    <hyperlink ref="S557" r:id="rId784" xr:uid="{00000000-0004-0000-0200-00000F030000}"/>
    <hyperlink ref="F558" r:id="rId785" xr:uid="{00000000-0004-0000-0200-000010030000}"/>
    <hyperlink ref="F559" r:id="rId786" xr:uid="{00000000-0004-0000-0200-000011030000}"/>
    <hyperlink ref="F560" r:id="rId787" xr:uid="{00000000-0004-0000-0200-000012030000}"/>
    <hyperlink ref="F561" r:id="rId788" xr:uid="{00000000-0004-0000-0200-000013030000}"/>
    <hyperlink ref="S561" r:id="rId789" xr:uid="{00000000-0004-0000-0200-000014030000}"/>
    <hyperlink ref="F562" r:id="rId790" xr:uid="{00000000-0004-0000-0200-000015030000}"/>
    <hyperlink ref="G562" r:id="rId791" xr:uid="{00000000-0004-0000-0200-000016030000}"/>
    <hyperlink ref="S562" r:id="rId792" xr:uid="{00000000-0004-0000-0200-000017030000}"/>
    <hyperlink ref="F563" r:id="rId793" xr:uid="{00000000-0004-0000-0200-000018030000}"/>
    <hyperlink ref="S563" r:id="rId794" xr:uid="{00000000-0004-0000-0200-000019030000}"/>
    <hyperlink ref="G564" r:id="rId795" xr:uid="{00000000-0004-0000-0200-00001A030000}"/>
    <hyperlink ref="S565" r:id="rId796" xr:uid="{00000000-0004-0000-0200-00001B030000}"/>
    <hyperlink ref="F566" r:id="rId797" xr:uid="{00000000-0004-0000-0200-00001C030000}"/>
    <hyperlink ref="F567" r:id="rId798" xr:uid="{00000000-0004-0000-0200-00001D030000}"/>
    <hyperlink ref="G568" r:id="rId799" xr:uid="{00000000-0004-0000-0200-00001E030000}"/>
    <hyperlink ref="G569" r:id="rId800" xr:uid="{00000000-0004-0000-0200-00001F030000}"/>
    <hyperlink ref="G570" r:id="rId801" xr:uid="{00000000-0004-0000-0200-000020030000}"/>
    <hyperlink ref="S570" r:id="rId802" xr:uid="{00000000-0004-0000-0200-000021030000}"/>
    <hyperlink ref="S571" r:id="rId803" xr:uid="{00000000-0004-0000-0200-000022030000}"/>
    <hyperlink ref="F572" r:id="rId804" xr:uid="{00000000-0004-0000-0200-000023030000}"/>
    <hyperlink ref="F574" r:id="rId805" xr:uid="{00000000-0004-0000-0200-000024030000}"/>
    <hyperlink ref="S574" r:id="rId806" xr:uid="{00000000-0004-0000-0200-000025030000}"/>
    <hyperlink ref="G575" r:id="rId807" xr:uid="{00000000-0004-0000-0200-000026030000}"/>
    <hyperlink ref="F576" r:id="rId808" xr:uid="{00000000-0004-0000-0200-000027030000}"/>
    <hyperlink ref="S576" r:id="rId809" xr:uid="{00000000-0004-0000-0200-000028030000}"/>
    <hyperlink ref="F577" r:id="rId810" xr:uid="{00000000-0004-0000-0200-000029030000}"/>
    <hyperlink ref="S577" r:id="rId811" xr:uid="{00000000-0004-0000-0200-00002A030000}"/>
    <hyperlink ref="F578" r:id="rId812" xr:uid="{00000000-0004-0000-0200-00002B030000}"/>
    <hyperlink ref="S580" r:id="rId813" xr:uid="{00000000-0004-0000-0200-00002C030000}"/>
    <hyperlink ref="F581" r:id="rId814" xr:uid="{00000000-0004-0000-0200-00002D030000}"/>
    <hyperlink ref="S581" r:id="rId815" xr:uid="{00000000-0004-0000-0200-00002E030000}"/>
    <hyperlink ref="F582" r:id="rId816" xr:uid="{00000000-0004-0000-0200-00002F030000}"/>
    <hyperlink ref="S582" r:id="rId817" xr:uid="{00000000-0004-0000-0200-000030030000}"/>
    <hyperlink ref="F584" r:id="rId818" xr:uid="{00000000-0004-0000-0200-000031030000}"/>
    <hyperlink ref="F585" r:id="rId819" xr:uid="{00000000-0004-0000-0200-000032030000}"/>
    <hyperlink ref="F586" r:id="rId820" xr:uid="{00000000-0004-0000-0200-000033030000}"/>
    <hyperlink ref="S586" r:id="rId821" xr:uid="{00000000-0004-0000-0200-000034030000}"/>
    <hyperlink ref="G587" r:id="rId822" xr:uid="{00000000-0004-0000-0200-000035030000}"/>
    <hyperlink ref="S587" r:id="rId823" xr:uid="{00000000-0004-0000-0200-000036030000}"/>
    <hyperlink ref="F588" r:id="rId824" xr:uid="{00000000-0004-0000-0200-000037030000}"/>
    <hyperlink ref="G588" r:id="rId825" xr:uid="{00000000-0004-0000-0200-000038030000}"/>
    <hyperlink ref="F589" r:id="rId826" xr:uid="{00000000-0004-0000-0200-000039030000}"/>
    <hyperlink ref="S589" r:id="rId827" xr:uid="{00000000-0004-0000-0200-00003A030000}"/>
    <hyperlink ref="F590" r:id="rId828" location="ns_campaign=rrss-inducido&amp;ns_mchannel=abc-es&amp;ns_source=tw&amp;ns_linkname=noticia-foto&amp;ns_fee=0" xr:uid="{00000000-0004-0000-0200-00003B030000}"/>
    <hyperlink ref="F591" r:id="rId829" xr:uid="{00000000-0004-0000-0200-00003C030000}"/>
    <hyperlink ref="S591" r:id="rId830" xr:uid="{00000000-0004-0000-0200-00003D030000}"/>
    <hyperlink ref="F592" r:id="rId831" xr:uid="{00000000-0004-0000-0200-00003E030000}"/>
    <hyperlink ref="F593" r:id="rId832" xr:uid="{00000000-0004-0000-0200-00003F030000}"/>
    <hyperlink ref="S593" r:id="rId833" xr:uid="{00000000-0004-0000-0200-000040030000}"/>
    <hyperlink ref="G594" r:id="rId834" xr:uid="{00000000-0004-0000-0200-000041030000}"/>
    <hyperlink ref="G595" r:id="rId835" xr:uid="{00000000-0004-0000-0200-000042030000}"/>
    <hyperlink ref="S595" r:id="rId836" xr:uid="{00000000-0004-0000-0200-000043030000}"/>
    <hyperlink ref="F596" r:id="rId837" xr:uid="{00000000-0004-0000-0200-000044030000}"/>
    <hyperlink ref="S596" r:id="rId838" xr:uid="{00000000-0004-0000-0200-000045030000}"/>
    <hyperlink ref="F597" r:id="rId839" xr:uid="{00000000-0004-0000-0200-000046030000}"/>
    <hyperlink ref="G597" r:id="rId840" xr:uid="{00000000-0004-0000-0200-000047030000}"/>
    <hyperlink ref="S597" r:id="rId841" xr:uid="{00000000-0004-0000-0200-000048030000}"/>
    <hyperlink ref="F598" r:id="rId842" xr:uid="{00000000-0004-0000-0200-000049030000}"/>
    <hyperlink ref="S598" r:id="rId843" xr:uid="{00000000-0004-0000-0200-00004A030000}"/>
    <hyperlink ref="F599" r:id="rId844" xr:uid="{00000000-0004-0000-0200-00004B030000}"/>
    <hyperlink ref="S599" r:id="rId845" xr:uid="{00000000-0004-0000-0200-00004C030000}"/>
    <hyperlink ref="G600" r:id="rId846" xr:uid="{00000000-0004-0000-0200-00004D030000}"/>
    <hyperlink ref="F602" r:id="rId847" xr:uid="{00000000-0004-0000-0200-00004E030000}"/>
    <hyperlink ref="G602" r:id="rId848" xr:uid="{00000000-0004-0000-0200-00004F030000}"/>
    <hyperlink ref="S602" r:id="rId849" xr:uid="{00000000-0004-0000-0200-000050030000}"/>
    <hyperlink ref="S603" r:id="rId850" xr:uid="{00000000-0004-0000-0200-000051030000}"/>
    <hyperlink ref="F604" r:id="rId851" xr:uid="{00000000-0004-0000-0200-000052030000}"/>
    <hyperlink ref="S604" r:id="rId852" xr:uid="{00000000-0004-0000-0200-000053030000}"/>
    <hyperlink ref="F605" r:id="rId853" xr:uid="{00000000-0004-0000-0200-000054030000}"/>
    <hyperlink ref="S605" r:id="rId854" xr:uid="{00000000-0004-0000-0200-000055030000}"/>
    <hyperlink ref="F606" r:id="rId855" xr:uid="{00000000-0004-0000-0200-000056030000}"/>
    <hyperlink ref="F607" r:id="rId856" xr:uid="{00000000-0004-0000-0200-000057030000}"/>
    <hyperlink ref="S607" r:id="rId857" xr:uid="{00000000-0004-0000-0200-000058030000}"/>
    <hyperlink ref="F608" r:id="rId858" xr:uid="{00000000-0004-0000-0200-000059030000}"/>
    <hyperlink ref="S608" r:id="rId859" xr:uid="{00000000-0004-0000-0200-00005A030000}"/>
    <hyperlink ref="S609" r:id="rId860" xr:uid="{00000000-0004-0000-0200-00005B030000}"/>
    <hyperlink ref="F610" r:id="rId861" xr:uid="{00000000-0004-0000-0200-00005C030000}"/>
    <hyperlink ref="G610" r:id="rId862" xr:uid="{00000000-0004-0000-0200-00005D030000}"/>
    <hyperlink ref="F611" r:id="rId863" xr:uid="{00000000-0004-0000-0200-00005E030000}"/>
    <hyperlink ref="F612" r:id="rId864" xr:uid="{00000000-0004-0000-0200-00005F030000}"/>
    <hyperlink ref="S613" r:id="rId865" xr:uid="{00000000-0004-0000-0200-000060030000}"/>
    <hyperlink ref="F614" r:id="rId866" xr:uid="{00000000-0004-0000-0200-000061030000}"/>
    <hyperlink ref="S615" r:id="rId867" xr:uid="{00000000-0004-0000-0200-000062030000}"/>
    <hyperlink ref="G616" r:id="rId868" xr:uid="{00000000-0004-0000-0200-000063030000}"/>
    <hyperlink ref="S616" r:id="rId869" xr:uid="{00000000-0004-0000-0200-000064030000}"/>
    <hyperlink ref="G617" r:id="rId870" xr:uid="{00000000-0004-0000-0200-000065030000}"/>
    <hyperlink ref="S617" r:id="rId871" xr:uid="{00000000-0004-0000-0200-000066030000}"/>
    <hyperlink ref="F618" r:id="rId872" xr:uid="{00000000-0004-0000-0200-000067030000}"/>
    <hyperlink ref="F619" r:id="rId873" xr:uid="{00000000-0004-0000-0200-000068030000}"/>
    <hyperlink ref="S619" r:id="rId874" xr:uid="{00000000-0004-0000-0200-000069030000}"/>
    <hyperlink ref="F621" r:id="rId875" xr:uid="{00000000-0004-0000-0200-00006A030000}"/>
    <hyperlink ref="G621" r:id="rId876" xr:uid="{00000000-0004-0000-0200-00006B030000}"/>
    <hyperlink ref="S621" r:id="rId877" xr:uid="{00000000-0004-0000-0200-00006C030000}"/>
    <hyperlink ref="F622" r:id="rId878" xr:uid="{00000000-0004-0000-0200-00006D030000}"/>
    <hyperlink ref="G623" r:id="rId879" xr:uid="{00000000-0004-0000-0200-00006E030000}"/>
    <hyperlink ref="S623" r:id="rId880" xr:uid="{00000000-0004-0000-0200-00006F030000}"/>
    <hyperlink ref="F624" r:id="rId881" xr:uid="{00000000-0004-0000-0200-000070030000}"/>
    <hyperlink ref="G624" r:id="rId882" xr:uid="{00000000-0004-0000-0200-000071030000}"/>
    <hyperlink ref="S624" r:id="rId883" xr:uid="{00000000-0004-0000-0200-000072030000}"/>
    <hyperlink ref="F626" r:id="rId884" location="referrer=https%3A%2F%2Fwww.google.com&amp;amp_tf=De%20%251%24s" xr:uid="{00000000-0004-0000-0200-000073030000}"/>
    <hyperlink ref="S626" r:id="rId885" xr:uid="{00000000-0004-0000-0200-000074030000}"/>
    <hyperlink ref="F627" r:id="rId886" xr:uid="{00000000-0004-0000-0200-000075030000}"/>
    <hyperlink ref="F629" r:id="rId887" xr:uid="{00000000-0004-0000-0200-000076030000}"/>
    <hyperlink ref="F630" r:id="rId888" location=".W_fCQGkV3Hg.twitter" xr:uid="{00000000-0004-0000-0200-000077030000}"/>
    <hyperlink ref="S630" r:id="rId889" xr:uid="{00000000-0004-0000-0200-000078030000}"/>
    <hyperlink ref="S631" r:id="rId890" xr:uid="{00000000-0004-0000-0200-000079030000}"/>
    <hyperlink ref="G632" r:id="rId891" xr:uid="{00000000-0004-0000-0200-00007A030000}"/>
    <hyperlink ref="F633" r:id="rId892" xr:uid="{00000000-0004-0000-0200-00007B030000}"/>
    <hyperlink ref="F634" r:id="rId893" xr:uid="{00000000-0004-0000-0200-00007C030000}"/>
    <hyperlink ref="S634" r:id="rId894" xr:uid="{00000000-0004-0000-0200-00007D030000}"/>
    <hyperlink ref="F635" r:id="rId895" xr:uid="{00000000-0004-0000-0200-00007E030000}"/>
    <hyperlink ref="S635" r:id="rId896" xr:uid="{00000000-0004-0000-0200-00007F030000}"/>
    <hyperlink ref="F636" r:id="rId897" xr:uid="{00000000-0004-0000-0200-000080030000}"/>
    <hyperlink ref="S636" r:id="rId898" xr:uid="{00000000-0004-0000-0200-000081030000}"/>
    <hyperlink ref="F637" r:id="rId899" xr:uid="{00000000-0004-0000-0200-000082030000}"/>
    <hyperlink ref="S637" r:id="rId900" xr:uid="{00000000-0004-0000-0200-000083030000}"/>
    <hyperlink ref="F638" r:id="rId901" xr:uid="{00000000-0004-0000-0200-000084030000}"/>
    <hyperlink ref="S638" r:id="rId902" xr:uid="{00000000-0004-0000-0200-000085030000}"/>
    <hyperlink ref="F639" r:id="rId903" xr:uid="{00000000-0004-0000-0200-000086030000}"/>
    <hyperlink ref="S639" r:id="rId904" xr:uid="{00000000-0004-0000-0200-000087030000}"/>
    <hyperlink ref="F640" r:id="rId905" xr:uid="{00000000-0004-0000-0200-000088030000}"/>
    <hyperlink ref="S640" r:id="rId906" xr:uid="{00000000-0004-0000-0200-000089030000}"/>
    <hyperlink ref="F641" r:id="rId907" xr:uid="{00000000-0004-0000-0200-00008A030000}"/>
    <hyperlink ref="F642" r:id="rId908" xr:uid="{00000000-0004-0000-0200-00008B030000}"/>
    <hyperlink ref="S642" r:id="rId909" xr:uid="{00000000-0004-0000-0200-00008C030000}"/>
    <hyperlink ref="F643" r:id="rId910" xr:uid="{00000000-0004-0000-0200-00008D030000}"/>
    <hyperlink ref="G643" r:id="rId911" xr:uid="{00000000-0004-0000-0200-00008E030000}"/>
    <hyperlink ref="F645" r:id="rId912" xr:uid="{00000000-0004-0000-0200-00008F030000}"/>
    <hyperlink ref="G646" r:id="rId913" xr:uid="{00000000-0004-0000-0200-000090030000}"/>
    <hyperlink ref="S646" r:id="rId914" xr:uid="{00000000-0004-0000-0200-000091030000}"/>
    <hyperlink ref="F648" r:id="rId915" xr:uid="{00000000-0004-0000-0200-000092030000}"/>
    <hyperlink ref="F649" r:id="rId916" xr:uid="{00000000-0004-0000-0200-000093030000}"/>
    <hyperlink ref="S649" r:id="rId917" xr:uid="{00000000-0004-0000-0200-000094030000}"/>
    <hyperlink ref="F650" r:id="rId918" xr:uid="{00000000-0004-0000-0200-000095030000}"/>
    <hyperlink ref="F651" r:id="rId919" xr:uid="{00000000-0004-0000-0200-000096030000}"/>
    <hyperlink ref="G652" r:id="rId920" xr:uid="{00000000-0004-0000-0200-000097030000}"/>
    <hyperlink ref="G653" r:id="rId921" xr:uid="{00000000-0004-0000-0200-000098030000}"/>
    <hyperlink ref="S653" r:id="rId922" xr:uid="{00000000-0004-0000-0200-000099030000}"/>
    <hyperlink ref="F654" r:id="rId923" xr:uid="{00000000-0004-0000-0200-00009A030000}"/>
    <hyperlink ref="F655" r:id="rId924" xr:uid="{00000000-0004-0000-0200-00009B030000}"/>
    <hyperlink ref="S655" r:id="rId925" xr:uid="{00000000-0004-0000-0200-00009C030000}"/>
    <hyperlink ref="F656" r:id="rId926" xr:uid="{00000000-0004-0000-0200-00009D030000}"/>
    <hyperlink ref="S656" r:id="rId927" xr:uid="{00000000-0004-0000-0200-00009E030000}"/>
    <hyperlink ref="F657" r:id="rId928" xr:uid="{00000000-0004-0000-0200-00009F030000}"/>
    <hyperlink ref="S657" r:id="rId929" xr:uid="{00000000-0004-0000-0200-0000A0030000}"/>
    <hyperlink ref="F658" r:id="rId930" xr:uid="{00000000-0004-0000-0200-0000A1030000}"/>
    <hyperlink ref="S658" r:id="rId931" xr:uid="{00000000-0004-0000-0200-0000A2030000}"/>
    <hyperlink ref="F660" r:id="rId932" xr:uid="{00000000-0004-0000-0200-0000A3030000}"/>
    <hyperlink ref="F662" r:id="rId933" xr:uid="{00000000-0004-0000-0200-0000A4030000}"/>
    <hyperlink ref="F663" r:id="rId934" xr:uid="{00000000-0004-0000-0200-0000A5030000}"/>
    <hyperlink ref="G664" r:id="rId935" xr:uid="{00000000-0004-0000-0200-0000A6030000}"/>
    <hyperlink ref="F665" r:id="rId936" xr:uid="{00000000-0004-0000-0200-0000A7030000}"/>
    <hyperlink ref="F666" r:id="rId937" xr:uid="{00000000-0004-0000-0200-0000A8030000}"/>
    <hyperlink ref="G666" r:id="rId938" xr:uid="{00000000-0004-0000-0200-0000A9030000}"/>
    <hyperlink ref="G667" r:id="rId939" xr:uid="{00000000-0004-0000-0200-0000AA030000}"/>
    <hyperlink ref="F668" r:id="rId940" xr:uid="{00000000-0004-0000-0200-0000AB030000}"/>
    <hyperlink ref="S668" r:id="rId941" xr:uid="{00000000-0004-0000-0200-0000AC030000}"/>
    <hyperlink ref="F669" r:id="rId942" xr:uid="{00000000-0004-0000-0200-0000AD030000}"/>
    <hyperlink ref="F670" r:id="rId943" xr:uid="{00000000-0004-0000-0200-0000AE030000}"/>
    <hyperlink ref="G670" r:id="rId944" xr:uid="{00000000-0004-0000-0200-0000AF030000}"/>
    <hyperlink ref="S670" r:id="rId945" xr:uid="{00000000-0004-0000-0200-0000B0030000}"/>
    <hyperlink ref="G671" r:id="rId946" xr:uid="{00000000-0004-0000-0200-0000B1030000}"/>
    <hyperlink ref="S671" r:id="rId947" xr:uid="{00000000-0004-0000-0200-0000B2030000}"/>
    <hyperlink ref="F672" r:id="rId948" xr:uid="{00000000-0004-0000-0200-0000B3030000}"/>
    <hyperlink ref="F674" r:id="rId949" xr:uid="{00000000-0004-0000-0200-0000B4030000}"/>
    <hyperlink ref="S674" r:id="rId950" xr:uid="{00000000-0004-0000-0200-0000B5030000}"/>
    <hyperlink ref="F675" r:id="rId951" xr:uid="{00000000-0004-0000-0200-0000B6030000}"/>
    <hyperlink ref="S675" r:id="rId952" xr:uid="{00000000-0004-0000-0200-0000B7030000}"/>
    <hyperlink ref="F676" r:id="rId953" xr:uid="{00000000-0004-0000-0200-0000B8030000}"/>
    <hyperlink ref="S676" r:id="rId954" xr:uid="{00000000-0004-0000-0200-0000B9030000}"/>
    <hyperlink ref="F677" r:id="rId955" xr:uid="{00000000-0004-0000-0200-0000BA030000}"/>
    <hyperlink ref="S677" r:id="rId956" xr:uid="{00000000-0004-0000-0200-0000BB030000}"/>
    <hyperlink ref="G678" r:id="rId957" xr:uid="{00000000-0004-0000-0200-0000BC030000}"/>
    <hyperlink ref="F680" r:id="rId958" xr:uid="{00000000-0004-0000-0200-0000BD030000}"/>
    <hyperlink ref="F681" r:id="rId959" xr:uid="{00000000-0004-0000-0200-0000BE030000}"/>
    <hyperlink ref="S681" r:id="rId960" xr:uid="{00000000-0004-0000-0200-0000BF030000}"/>
    <hyperlink ref="S682" r:id="rId961" xr:uid="{00000000-0004-0000-0200-0000C0030000}"/>
    <hyperlink ref="G683" r:id="rId962" xr:uid="{00000000-0004-0000-0200-0000C1030000}"/>
    <hyperlink ref="F684" r:id="rId963" xr:uid="{00000000-0004-0000-0200-0000C2030000}"/>
    <hyperlink ref="S684" r:id="rId964" xr:uid="{00000000-0004-0000-0200-0000C3030000}"/>
    <hyperlink ref="G685" r:id="rId965" xr:uid="{00000000-0004-0000-0200-0000C4030000}"/>
    <hyperlink ref="S685" r:id="rId966" xr:uid="{00000000-0004-0000-0200-0000C5030000}"/>
    <hyperlink ref="F686" r:id="rId967" xr:uid="{00000000-0004-0000-0200-0000C6030000}"/>
    <hyperlink ref="S686" r:id="rId968" xr:uid="{00000000-0004-0000-0200-0000C7030000}"/>
    <hyperlink ref="F688" r:id="rId969" xr:uid="{00000000-0004-0000-0200-0000C8030000}"/>
    <hyperlink ref="S690" r:id="rId970" xr:uid="{00000000-0004-0000-0200-0000C9030000}"/>
    <hyperlink ref="F691" r:id="rId971" location="ns_campaign=rrss-inducido&amp;ns_mchannel=abc-es&amp;ns_source=tw&amp;ns_linkname=noticia-foto&amp;ns_fee=0" xr:uid="{00000000-0004-0000-0200-0000CA030000}"/>
    <hyperlink ref="F692" r:id="rId972" xr:uid="{00000000-0004-0000-0200-0000CB030000}"/>
    <hyperlink ref="F693" r:id="rId973" xr:uid="{00000000-0004-0000-0200-0000CC030000}"/>
    <hyperlink ref="F694" r:id="rId974" xr:uid="{00000000-0004-0000-0200-0000CD030000}"/>
    <hyperlink ref="S694" r:id="rId975" xr:uid="{00000000-0004-0000-0200-0000CE030000}"/>
    <hyperlink ref="F695" r:id="rId976" xr:uid="{00000000-0004-0000-0200-0000CF030000}"/>
    <hyperlink ref="S695" r:id="rId977" xr:uid="{00000000-0004-0000-0200-0000D0030000}"/>
    <hyperlink ref="G696" r:id="rId978" xr:uid="{00000000-0004-0000-0200-0000D1030000}"/>
    <hyperlink ref="G697" r:id="rId979" xr:uid="{00000000-0004-0000-0200-0000D2030000}"/>
    <hyperlink ref="S697" r:id="rId980" xr:uid="{00000000-0004-0000-0200-0000D3030000}"/>
    <hyperlink ref="F698" r:id="rId981" xr:uid="{00000000-0004-0000-0200-0000D4030000}"/>
    <hyperlink ref="F699" r:id="rId982" xr:uid="{00000000-0004-0000-0200-0000D5030000}"/>
    <hyperlink ref="F700" r:id="rId983" xr:uid="{00000000-0004-0000-0200-0000D6030000}"/>
    <hyperlink ref="S700" r:id="rId984" xr:uid="{00000000-0004-0000-0200-0000D7030000}"/>
    <hyperlink ref="F701" r:id="rId985" xr:uid="{00000000-0004-0000-0200-0000D8030000}"/>
    <hyperlink ref="G701" r:id="rId986" xr:uid="{00000000-0004-0000-0200-0000D9030000}"/>
    <hyperlink ref="S701" r:id="rId987" xr:uid="{00000000-0004-0000-0200-0000DA030000}"/>
    <hyperlink ref="C702" r:id="rId988" xr:uid="{00000000-0004-0000-0200-0000DB030000}"/>
    <hyperlink ref="F702" r:id="rId989" xr:uid="{00000000-0004-0000-0200-0000DC030000}"/>
    <hyperlink ref="S702" r:id="rId990" xr:uid="{00000000-0004-0000-0200-0000DD030000}"/>
    <hyperlink ref="F704" r:id="rId991" xr:uid="{00000000-0004-0000-0200-0000DE030000}"/>
    <hyperlink ref="S704" r:id="rId992" xr:uid="{00000000-0004-0000-0200-0000DF030000}"/>
    <hyperlink ref="G705" r:id="rId993" xr:uid="{00000000-0004-0000-0200-0000E0030000}"/>
    <hyperlink ref="G707" r:id="rId994" xr:uid="{00000000-0004-0000-0200-0000E1030000}"/>
    <hyperlink ref="S707" r:id="rId995" xr:uid="{00000000-0004-0000-0200-0000E2030000}"/>
    <hyperlink ref="F711" r:id="rId996" xr:uid="{00000000-0004-0000-0200-0000E3030000}"/>
    <hyperlink ref="S711" r:id="rId997" xr:uid="{00000000-0004-0000-0200-0000E4030000}"/>
    <hyperlink ref="F713" r:id="rId998" xr:uid="{00000000-0004-0000-0200-0000E5030000}"/>
    <hyperlink ref="S713" r:id="rId999" xr:uid="{00000000-0004-0000-0200-0000E6030000}"/>
    <hyperlink ref="F716" r:id="rId1000" xr:uid="{00000000-0004-0000-0200-0000E7030000}"/>
    <hyperlink ref="F717" r:id="rId1001" xr:uid="{00000000-0004-0000-0200-0000E8030000}"/>
    <hyperlink ref="G717" r:id="rId1002" xr:uid="{00000000-0004-0000-0200-0000E9030000}"/>
    <hyperlink ref="F718" r:id="rId1003" xr:uid="{00000000-0004-0000-0200-0000EA030000}"/>
    <hyperlink ref="G718" r:id="rId1004" xr:uid="{00000000-0004-0000-0200-0000EB030000}"/>
    <hyperlink ref="F719" r:id="rId1005" xr:uid="{00000000-0004-0000-0200-0000EC030000}"/>
    <hyperlink ref="G719" r:id="rId1006" xr:uid="{00000000-0004-0000-0200-0000ED030000}"/>
    <hyperlink ref="F720" r:id="rId1007" location="ns_campaign=amp-rrss-inducido&amp;ns_mchannel=abc-es&amp;ns_source=tw&amp;ns_linkname=noticia.opinion&amp;ns_fee=0" xr:uid="{00000000-0004-0000-0200-0000EE030000}"/>
    <hyperlink ref="S720" r:id="rId1008" xr:uid="{00000000-0004-0000-0200-0000EF030000}"/>
    <hyperlink ref="S721" r:id="rId1009" xr:uid="{00000000-0004-0000-0200-0000F0030000}"/>
    <hyperlink ref="G722" r:id="rId1010" xr:uid="{00000000-0004-0000-0200-0000F1030000}"/>
    <hyperlink ref="S722" r:id="rId1011" xr:uid="{00000000-0004-0000-0200-0000F2030000}"/>
    <hyperlink ref="F724" r:id="rId1012" xr:uid="{00000000-0004-0000-0200-0000F3030000}"/>
    <hyperlink ref="F725" r:id="rId1013" xr:uid="{00000000-0004-0000-0200-0000F4030000}"/>
    <hyperlink ref="S725" r:id="rId1014" xr:uid="{00000000-0004-0000-0200-0000F5030000}"/>
    <hyperlink ref="F726" r:id="rId1015" xr:uid="{00000000-0004-0000-0200-0000F6030000}"/>
    <hyperlink ref="F727" r:id="rId1016" xr:uid="{00000000-0004-0000-0200-0000F7030000}"/>
    <hyperlink ref="F728" r:id="rId1017" xr:uid="{00000000-0004-0000-0200-0000F8030000}"/>
    <hyperlink ref="G728" r:id="rId1018" xr:uid="{00000000-0004-0000-0200-0000F9030000}"/>
    <hyperlink ref="S728" r:id="rId1019" xr:uid="{00000000-0004-0000-0200-0000FA030000}"/>
    <hyperlink ref="C729" r:id="rId1020" xr:uid="{00000000-0004-0000-0200-0000FB030000}"/>
    <hyperlink ref="F729" r:id="rId1021" xr:uid="{00000000-0004-0000-0200-0000FC030000}"/>
    <hyperlink ref="S729" r:id="rId1022" xr:uid="{00000000-0004-0000-0200-0000FD030000}"/>
    <hyperlink ref="S730" r:id="rId1023" xr:uid="{00000000-0004-0000-0200-0000FE030000}"/>
    <hyperlink ref="G733" r:id="rId1024" xr:uid="{00000000-0004-0000-0200-0000FF030000}"/>
    <hyperlink ref="S733" r:id="rId1025" xr:uid="{00000000-0004-0000-0200-000000040000}"/>
    <hyperlink ref="F734" r:id="rId1026" xr:uid="{00000000-0004-0000-0200-000001040000}"/>
    <hyperlink ref="F735" r:id="rId1027" xr:uid="{00000000-0004-0000-0200-000002040000}"/>
    <hyperlink ref="G735" r:id="rId1028" xr:uid="{00000000-0004-0000-0200-000003040000}"/>
    <hyperlink ref="F736" r:id="rId1029" xr:uid="{00000000-0004-0000-0200-000004040000}"/>
    <hyperlink ref="S736" r:id="rId1030" xr:uid="{00000000-0004-0000-0200-000005040000}"/>
    <hyperlink ref="F737" r:id="rId1031" xr:uid="{00000000-0004-0000-0200-000006040000}"/>
    <hyperlink ref="F738" r:id="rId1032" xr:uid="{00000000-0004-0000-0200-000007040000}"/>
    <hyperlink ref="S738" r:id="rId1033" xr:uid="{00000000-0004-0000-0200-000008040000}"/>
    <hyperlink ref="F739" r:id="rId1034" xr:uid="{00000000-0004-0000-0200-000009040000}"/>
    <hyperlink ref="S739" r:id="rId1035" xr:uid="{00000000-0004-0000-0200-00000A040000}"/>
    <hyperlink ref="S740" r:id="rId1036" xr:uid="{00000000-0004-0000-0200-00000B040000}"/>
    <hyperlink ref="C741" r:id="rId1037" xr:uid="{00000000-0004-0000-0200-00000C040000}"/>
    <hyperlink ref="F741" r:id="rId1038" xr:uid="{00000000-0004-0000-0200-00000D040000}"/>
    <hyperlink ref="S741" r:id="rId1039" xr:uid="{00000000-0004-0000-0200-00000E040000}"/>
    <hyperlink ref="F742" r:id="rId1040" xr:uid="{00000000-0004-0000-0200-00000F040000}"/>
    <hyperlink ref="F743" r:id="rId1041" xr:uid="{00000000-0004-0000-0200-000010040000}"/>
    <hyperlink ref="G743" r:id="rId1042" xr:uid="{00000000-0004-0000-0200-000011040000}"/>
    <hyperlink ref="F746" r:id="rId1043" xr:uid="{00000000-0004-0000-0200-000012040000}"/>
    <hyperlink ref="G746" r:id="rId1044" xr:uid="{00000000-0004-0000-0200-000013040000}"/>
    <hyperlink ref="F747" r:id="rId1045" xr:uid="{00000000-0004-0000-0200-000014040000}"/>
    <hyperlink ref="F748" r:id="rId1046" xr:uid="{00000000-0004-0000-0200-000015040000}"/>
    <hyperlink ref="F749" r:id="rId1047" xr:uid="{00000000-0004-0000-0200-000016040000}"/>
    <hyperlink ref="S749" r:id="rId1048" xr:uid="{00000000-0004-0000-0200-000017040000}"/>
    <hyperlink ref="F750" r:id="rId1049" xr:uid="{00000000-0004-0000-0200-000018040000}"/>
    <hyperlink ref="S750" r:id="rId1050" xr:uid="{00000000-0004-0000-0200-000019040000}"/>
    <hyperlink ref="F752" r:id="rId1051" xr:uid="{00000000-0004-0000-0200-00001A040000}"/>
    <hyperlink ref="G753" r:id="rId1052" xr:uid="{00000000-0004-0000-0200-00001B040000}"/>
    <hyperlink ref="S753" r:id="rId1053" xr:uid="{00000000-0004-0000-0200-00001C040000}"/>
    <hyperlink ref="F754" r:id="rId1054" xr:uid="{00000000-0004-0000-0200-00001D040000}"/>
    <hyperlink ref="S754" r:id="rId1055" xr:uid="{00000000-0004-0000-0200-00001E040000}"/>
    <hyperlink ref="F755" r:id="rId1056" xr:uid="{00000000-0004-0000-0200-00001F040000}"/>
    <hyperlink ref="G755" r:id="rId1057" xr:uid="{00000000-0004-0000-0200-000020040000}"/>
    <hyperlink ref="S755" r:id="rId1058" xr:uid="{00000000-0004-0000-0200-000021040000}"/>
    <hyperlink ref="F756" r:id="rId1059" xr:uid="{00000000-0004-0000-0200-000022040000}"/>
    <hyperlink ref="S756" r:id="rId1060" xr:uid="{00000000-0004-0000-0200-000023040000}"/>
    <hyperlink ref="F757" r:id="rId1061" xr:uid="{00000000-0004-0000-0200-000024040000}"/>
    <hyperlink ref="F758" r:id="rId1062" xr:uid="{00000000-0004-0000-0200-000025040000}"/>
    <hyperlink ref="G758" r:id="rId1063" xr:uid="{00000000-0004-0000-0200-000026040000}"/>
    <hyperlink ref="S758" r:id="rId1064" xr:uid="{00000000-0004-0000-0200-000027040000}"/>
    <hyperlink ref="F759" r:id="rId1065" xr:uid="{00000000-0004-0000-0200-000028040000}"/>
    <hyperlink ref="S759" r:id="rId1066" xr:uid="{00000000-0004-0000-0200-000029040000}"/>
    <hyperlink ref="F760" r:id="rId1067" xr:uid="{00000000-0004-0000-0200-00002A040000}"/>
    <hyperlink ref="G760" r:id="rId1068" xr:uid="{00000000-0004-0000-0200-00002B040000}"/>
    <hyperlink ref="S760" r:id="rId1069" xr:uid="{00000000-0004-0000-0200-00002C040000}"/>
    <hyperlink ref="F761" r:id="rId1070" xr:uid="{00000000-0004-0000-0200-00002D040000}"/>
    <hyperlink ref="F762" r:id="rId1071" xr:uid="{00000000-0004-0000-0200-00002E040000}"/>
    <hyperlink ref="F763" r:id="rId1072" xr:uid="{00000000-0004-0000-0200-00002F040000}"/>
    <hyperlink ref="G764" r:id="rId1073" xr:uid="{00000000-0004-0000-0200-000030040000}"/>
    <hyperlink ref="F765" r:id="rId1074" xr:uid="{00000000-0004-0000-0200-000031040000}"/>
    <hyperlink ref="S765" r:id="rId1075" xr:uid="{00000000-0004-0000-0200-000032040000}"/>
    <hyperlink ref="F766" r:id="rId1076" xr:uid="{00000000-0004-0000-0200-000033040000}"/>
    <hyperlink ref="F767" r:id="rId1077" xr:uid="{00000000-0004-0000-0200-000034040000}"/>
    <hyperlink ref="F768" r:id="rId1078" xr:uid="{00000000-0004-0000-0200-000035040000}"/>
    <hyperlink ref="S768" r:id="rId1079" xr:uid="{00000000-0004-0000-0200-000036040000}"/>
    <hyperlink ref="F769" r:id="rId1080" xr:uid="{00000000-0004-0000-0200-000037040000}"/>
    <hyperlink ref="F770" r:id="rId1081" xr:uid="{00000000-0004-0000-0200-000038040000}"/>
    <hyperlink ref="S770" r:id="rId1082" xr:uid="{00000000-0004-0000-0200-000039040000}"/>
    <hyperlink ref="F771" r:id="rId1083" xr:uid="{00000000-0004-0000-0200-00003A040000}"/>
    <hyperlink ref="S771" r:id="rId1084" xr:uid="{00000000-0004-0000-0200-00003B040000}"/>
    <hyperlink ref="S772" r:id="rId1085" xr:uid="{00000000-0004-0000-0200-00003C040000}"/>
    <hyperlink ref="F773" r:id="rId1086" xr:uid="{00000000-0004-0000-0200-00003D040000}"/>
    <hyperlink ref="S773" r:id="rId1087" xr:uid="{00000000-0004-0000-0200-00003E040000}"/>
    <hyperlink ref="G774" r:id="rId1088" xr:uid="{00000000-0004-0000-0200-00003F040000}"/>
    <hyperlink ref="S775" r:id="rId1089" xr:uid="{00000000-0004-0000-0200-000040040000}"/>
    <hyperlink ref="F777" r:id="rId1090" xr:uid="{00000000-0004-0000-0200-000041040000}"/>
    <hyperlink ref="G777" r:id="rId1091" xr:uid="{00000000-0004-0000-0200-000042040000}"/>
    <hyperlink ref="S777" r:id="rId1092" xr:uid="{00000000-0004-0000-0200-000043040000}"/>
    <hyperlink ref="F778" r:id="rId1093" xr:uid="{00000000-0004-0000-0200-000044040000}"/>
    <hyperlink ref="S778" r:id="rId1094" xr:uid="{00000000-0004-0000-0200-000045040000}"/>
    <hyperlink ref="F779" r:id="rId1095" xr:uid="{00000000-0004-0000-0200-000046040000}"/>
    <hyperlink ref="G779" r:id="rId1096" xr:uid="{00000000-0004-0000-0200-000047040000}"/>
    <hyperlink ref="S779" r:id="rId1097" xr:uid="{00000000-0004-0000-0200-000048040000}"/>
    <hyperlink ref="F780" r:id="rId1098" xr:uid="{00000000-0004-0000-0200-000049040000}"/>
    <hyperlink ref="G782" r:id="rId1099" xr:uid="{00000000-0004-0000-0200-00004A040000}"/>
    <hyperlink ref="S782" r:id="rId1100" xr:uid="{00000000-0004-0000-0200-00004B040000}"/>
    <hyperlink ref="G783" r:id="rId1101" xr:uid="{00000000-0004-0000-0200-00004C040000}"/>
    <hyperlink ref="F784" r:id="rId1102" xr:uid="{00000000-0004-0000-0200-00004D040000}"/>
    <hyperlink ref="S784" r:id="rId1103" xr:uid="{00000000-0004-0000-0200-00004E040000}"/>
    <hyperlink ref="F785" r:id="rId1104" location="ns_campaign=rrss-inducido&amp;ns_mchannel=abc-es&amp;ns_source=tw&amp;ns_linkname=noticia-foto&amp;ns_fee=0" xr:uid="{00000000-0004-0000-0200-00004F040000}"/>
    <hyperlink ref="S785" r:id="rId1105" xr:uid="{00000000-0004-0000-0200-000050040000}"/>
    <hyperlink ref="F786" r:id="rId1106" xr:uid="{00000000-0004-0000-0200-000051040000}"/>
    <hyperlink ref="G786" r:id="rId1107" xr:uid="{00000000-0004-0000-0200-000052040000}"/>
    <hyperlink ref="S786" r:id="rId1108" xr:uid="{00000000-0004-0000-0200-000053040000}"/>
    <hyperlink ref="F787" r:id="rId1109" xr:uid="{00000000-0004-0000-0200-000054040000}"/>
    <hyperlink ref="S787" r:id="rId1110" xr:uid="{00000000-0004-0000-0200-000055040000}"/>
    <hyperlink ref="F788" r:id="rId1111" xr:uid="{00000000-0004-0000-0200-000056040000}"/>
    <hyperlink ref="S788" r:id="rId1112" xr:uid="{00000000-0004-0000-0200-000057040000}"/>
    <hyperlink ref="F789" r:id="rId1113" xr:uid="{00000000-0004-0000-0200-000058040000}"/>
    <hyperlink ref="F790" r:id="rId1114" xr:uid="{00000000-0004-0000-0200-000059040000}"/>
    <hyperlink ref="G790" r:id="rId1115" xr:uid="{00000000-0004-0000-0200-00005A040000}"/>
    <hyperlink ref="S790" r:id="rId1116" xr:uid="{00000000-0004-0000-0200-00005B040000}"/>
    <hyperlink ref="F791" r:id="rId1117" xr:uid="{00000000-0004-0000-0200-00005C040000}"/>
    <hyperlink ref="G791" r:id="rId1118" xr:uid="{00000000-0004-0000-0200-00005D040000}"/>
    <hyperlink ref="S791" r:id="rId1119" xr:uid="{00000000-0004-0000-0200-00005E040000}"/>
    <hyperlink ref="G792" r:id="rId1120" xr:uid="{00000000-0004-0000-0200-00005F040000}"/>
    <hyperlink ref="F794" r:id="rId1121" xr:uid="{00000000-0004-0000-0200-000060040000}"/>
    <hyperlink ref="F795" r:id="rId1122" xr:uid="{00000000-0004-0000-0200-000061040000}"/>
    <hyperlink ref="F797" r:id="rId1123" xr:uid="{00000000-0004-0000-0200-000062040000}"/>
    <hyperlink ref="C798" r:id="rId1124" xr:uid="{00000000-0004-0000-0200-000063040000}"/>
    <hyperlink ref="F798" r:id="rId1125" xr:uid="{00000000-0004-0000-0200-000064040000}"/>
    <hyperlink ref="S798" r:id="rId1126" xr:uid="{00000000-0004-0000-0200-000065040000}"/>
    <hyperlink ref="F799" r:id="rId1127" xr:uid="{00000000-0004-0000-0200-000066040000}"/>
    <hyperlink ref="G799" r:id="rId1128" xr:uid="{00000000-0004-0000-0200-000067040000}"/>
    <hyperlink ref="S799" r:id="rId1129" xr:uid="{00000000-0004-0000-0200-000068040000}"/>
    <hyperlink ref="G800" r:id="rId1130" xr:uid="{00000000-0004-0000-0200-000069040000}"/>
    <hyperlink ref="F801" r:id="rId1131" xr:uid="{00000000-0004-0000-0200-00006A040000}"/>
    <hyperlink ref="G801" r:id="rId1132" xr:uid="{00000000-0004-0000-0200-00006B040000}"/>
    <hyperlink ref="S801" r:id="rId1133" xr:uid="{00000000-0004-0000-0200-00006C040000}"/>
    <hyperlink ref="F802" r:id="rId1134" xr:uid="{00000000-0004-0000-0200-00006D040000}"/>
    <hyperlink ref="S802" r:id="rId1135" xr:uid="{00000000-0004-0000-0200-00006E040000}"/>
    <hyperlink ref="G803" r:id="rId1136" xr:uid="{00000000-0004-0000-0200-00006F040000}"/>
    <hyperlink ref="S803" r:id="rId1137" xr:uid="{00000000-0004-0000-0200-000070040000}"/>
    <hyperlink ref="F805" r:id="rId1138" xr:uid="{00000000-0004-0000-0200-000071040000}"/>
    <hyperlink ref="S805" r:id="rId1139" xr:uid="{00000000-0004-0000-0200-000072040000}"/>
    <hyperlink ref="F806" r:id="rId1140" xr:uid="{00000000-0004-0000-0200-000073040000}"/>
    <hyperlink ref="F808" r:id="rId1141" xr:uid="{00000000-0004-0000-0200-000074040000}"/>
    <hyperlink ref="S808" r:id="rId1142" xr:uid="{00000000-0004-0000-0200-000075040000}"/>
    <hyperlink ref="F809" r:id="rId1143" xr:uid="{00000000-0004-0000-0200-000076040000}"/>
    <hyperlink ref="S809" r:id="rId1144" xr:uid="{00000000-0004-0000-0200-000077040000}"/>
    <hyperlink ref="F810" r:id="rId1145" xr:uid="{00000000-0004-0000-0200-000078040000}"/>
    <hyperlink ref="S810" r:id="rId1146" xr:uid="{00000000-0004-0000-0200-000079040000}"/>
    <hyperlink ref="G811" r:id="rId1147" xr:uid="{00000000-0004-0000-0200-00007A040000}"/>
    <hyperlink ref="S812" r:id="rId1148" xr:uid="{00000000-0004-0000-0200-00007B040000}"/>
    <hyperlink ref="F813" r:id="rId1149" xr:uid="{00000000-0004-0000-0200-00007C040000}"/>
    <hyperlink ref="F814" r:id="rId1150" xr:uid="{00000000-0004-0000-0200-00007D040000}"/>
    <hyperlink ref="S814" r:id="rId1151" xr:uid="{00000000-0004-0000-0200-00007E040000}"/>
    <hyperlink ref="F815" r:id="rId1152" xr:uid="{00000000-0004-0000-0200-00007F040000}"/>
    <hyperlink ref="F817" r:id="rId1153" xr:uid="{00000000-0004-0000-0200-000080040000}"/>
    <hyperlink ref="S818" r:id="rId1154" xr:uid="{00000000-0004-0000-0200-000081040000}"/>
    <hyperlink ref="F820" r:id="rId1155" xr:uid="{00000000-0004-0000-0200-000082040000}"/>
    <hyperlink ref="F821" r:id="rId1156" xr:uid="{00000000-0004-0000-0200-000083040000}"/>
    <hyperlink ref="F822" r:id="rId1157" xr:uid="{00000000-0004-0000-0200-000084040000}"/>
    <hyperlink ref="F823" r:id="rId1158" xr:uid="{00000000-0004-0000-0200-000085040000}"/>
    <hyperlink ref="G823" r:id="rId1159" xr:uid="{00000000-0004-0000-0200-000086040000}"/>
    <hyperlink ref="S826" r:id="rId1160" xr:uid="{00000000-0004-0000-0200-000087040000}"/>
    <hyperlink ref="F827" r:id="rId1161" xr:uid="{00000000-0004-0000-0200-000088040000}"/>
    <hyperlink ref="F828" r:id="rId1162" xr:uid="{00000000-0004-0000-0200-000089040000}"/>
    <hyperlink ref="F829" r:id="rId1163" xr:uid="{00000000-0004-0000-0200-00008A040000}"/>
    <hyperlink ref="S829" r:id="rId1164" xr:uid="{00000000-0004-0000-0200-00008B040000}"/>
    <hyperlink ref="S831" r:id="rId1165" xr:uid="{00000000-0004-0000-0200-00008C040000}"/>
    <hyperlink ref="F832" r:id="rId1166" xr:uid="{00000000-0004-0000-0200-00008D040000}"/>
    <hyperlink ref="S832" r:id="rId1167" xr:uid="{00000000-0004-0000-0200-00008E040000}"/>
    <hyperlink ref="F833" r:id="rId1168" xr:uid="{00000000-0004-0000-0200-00008F040000}"/>
    <hyperlink ref="S833" r:id="rId1169" xr:uid="{00000000-0004-0000-0200-000090040000}"/>
    <hyperlink ref="F834" r:id="rId1170" xr:uid="{00000000-0004-0000-0200-000091040000}"/>
    <hyperlink ref="F835" r:id="rId1171" xr:uid="{00000000-0004-0000-0200-000092040000}"/>
    <hyperlink ref="S835" r:id="rId1172" xr:uid="{00000000-0004-0000-0200-000093040000}"/>
    <hyperlink ref="F837" r:id="rId1173" xr:uid="{00000000-0004-0000-0200-000094040000}"/>
    <hyperlink ref="S837" r:id="rId1174" xr:uid="{00000000-0004-0000-0200-000095040000}"/>
    <hyperlink ref="F838" r:id="rId1175" xr:uid="{00000000-0004-0000-0200-000096040000}"/>
    <hyperlink ref="F839" r:id="rId1176" xr:uid="{00000000-0004-0000-0200-000097040000}"/>
    <hyperlink ref="F840" r:id="rId1177" xr:uid="{00000000-0004-0000-0200-000098040000}"/>
    <hyperlink ref="F841" r:id="rId1178" xr:uid="{00000000-0004-0000-0200-000099040000}"/>
    <hyperlink ref="S841" r:id="rId1179" xr:uid="{00000000-0004-0000-0200-00009A040000}"/>
    <hyperlink ref="F842" r:id="rId1180" xr:uid="{00000000-0004-0000-0200-00009B040000}"/>
    <hyperlink ref="F844" r:id="rId1181" xr:uid="{00000000-0004-0000-0200-00009C040000}"/>
    <hyperlink ref="S844" r:id="rId1182" location="!/mercedes.mosquerabango.7?ref=bookmark" xr:uid="{00000000-0004-0000-0200-00009D040000}"/>
    <hyperlink ref="F845" r:id="rId1183" xr:uid="{00000000-0004-0000-0200-00009E040000}"/>
    <hyperlink ref="G845" r:id="rId1184" xr:uid="{00000000-0004-0000-0200-00009F040000}"/>
    <hyperlink ref="S845" r:id="rId1185" xr:uid="{00000000-0004-0000-0200-0000A0040000}"/>
    <hyperlink ref="F846" r:id="rId1186" xr:uid="{00000000-0004-0000-0200-0000A1040000}"/>
    <hyperlink ref="S846" r:id="rId1187" xr:uid="{00000000-0004-0000-0200-0000A2040000}"/>
    <hyperlink ref="F847" r:id="rId1188" xr:uid="{00000000-0004-0000-0200-0000A3040000}"/>
    <hyperlink ref="F848" r:id="rId1189" xr:uid="{00000000-0004-0000-0200-0000A4040000}"/>
    <hyperlink ref="S848" r:id="rId1190" xr:uid="{00000000-0004-0000-0200-0000A5040000}"/>
    <hyperlink ref="F850" r:id="rId1191" xr:uid="{00000000-0004-0000-0200-0000A6040000}"/>
    <hyperlink ref="F851" r:id="rId1192" xr:uid="{00000000-0004-0000-0200-0000A7040000}"/>
    <hyperlink ref="F852" r:id="rId1193" xr:uid="{00000000-0004-0000-0200-0000A8040000}"/>
    <hyperlink ref="S852" r:id="rId1194" xr:uid="{00000000-0004-0000-0200-0000A9040000}"/>
    <hyperlink ref="F853" r:id="rId1195" location=".W_eg59ThBkg" xr:uid="{00000000-0004-0000-0200-0000AA040000}"/>
    <hyperlink ref="G853" r:id="rId1196" xr:uid="{00000000-0004-0000-0200-0000AB040000}"/>
    <hyperlink ref="S853" r:id="rId1197" xr:uid="{00000000-0004-0000-0200-0000AC040000}"/>
    <hyperlink ref="F854" r:id="rId1198" xr:uid="{00000000-0004-0000-0200-0000AD040000}"/>
    <hyperlink ref="S854" r:id="rId1199" xr:uid="{00000000-0004-0000-0200-0000AE040000}"/>
    <hyperlink ref="G855" r:id="rId1200" xr:uid="{00000000-0004-0000-0200-0000AF040000}"/>
    <hyperlink ref="F856" r:id="rId1201" xr:uid="{00000000-0004-0000-0200-0000B0040000}"/>
    <hyperlink ref="S856" r:id="rId1202" xr:uid="{00000000-0004-0000-0200-0000B1040000}"/>
    <hyperlink ref="F857" r:id="rId1203" location=".W_ehiZnqi1E.twitter" xr:uid="{00000000-0004-0000-0200-0000B2040000}"/>
    <hyperlink ref="S857" r:id="rId1204" xr:uid="{00000000-0004-0000-0200-0000B3040000}"/>
    <hyperlink ref="G858" r:id="rId1205" xr:uid="{00000000-0004-0000-0200-0000B4040000}"/>
    <hyperlink ref="F859" r:id="rId1206" location=".W_eg4P_4MhU.twitter" xr:uid="{00000000-0004-0000-0200-0000B5040000}"/>
    <hyperlink ref="F860" r:id="rId1207" xr:uid="{00000000-0004-0000-0200-0000B6040000}"/>
    <hyperlink ref="F861" r:id="rId1208" location=".W_eg1L_ZNok.twitter" xr:uid="{00000000-0004-0000-0200-0000B7040000}"/>
    <hyperlink ref="S861" r:id="rId1209" xr:uid="{00000000-0004-0000-0200-0000B8040000}"/>
    <hyperlink ref="F862" r:id="rId1210" xr:uid="{00000000-0004-0000-0200-0000B9040000}"/>
    <hyperlink ref="G862" r:id="rId1211" xr:uid="{00000000-0004-0000-0200-0000BA040000}"/>
    <hyperlink ref="S862" r:id="rId1212" xr:uid="{00000000-0004-0000-0200-0000BB040000}"/>
    <hyperlink ref="F863" r:id="rId1213" xr:uid="{00000000-0004-0000-0200-0000BC040000}"/>
    <hyperlink ref="S864" r:id="rId1214" xr:uid="{00000000-0004-0000-0200-0000BD040000}"/>
    <hyperlink ref="S865" r:id="rId1215" xr:uid="{00000000-0004-0000-0200-0000BE040000}"/>
    <hyperlink ref="F867" r:id="rId1216" xr:uid="{00000000-0004-0000-0200-0000BF040000}"/>
    <hyperlink ref="F868" r:id="rId1217" xr:uid="{00000000-0004-0000-0200-0000C0040000}"/>
    <hyperlink ref="S868" r:id="rId1218" xr:uid="{00000000-0004-0000-0200-0000C1040000}"/>
    <hyperlink ref="F870" r:id="rId1219" xr:uid="{00000000-0004-0000-0200-0000C2040000}"/>
    <hyperlink ref="S871" r:id="rId1220" xr:uid="{00000000-0004-0000-0200-0000C3040000}"/>
    <hyperlink ref="S872" r:id="rId1221" xr:uid="{00000000-0004-0000-0200-0000C4040000}"/>
    <hyperlink ref="F873" r:id="rId1222" xr:uid="{00000000-0004-0000-0200-0000C5040000}"/>
    <hyperlink ref="S873" r:id="rId1223" xr:uid="{00000000-0004-0000-0200-0000C6040000}"/>
    <hyperlink ref="F874" r:id="rId1224" xr:uid="{00000000-0004-0000-0200-0000C7040000}"/>
    <hyperlink ref="S874" r:id="rId1225" xr:uid="{00000000-0004-0000-0200-0000C8040000}"/>
    <hyperlink ref="F876" r:id="rId1226" xr:uid="{00000000-0004-0000-0200-0000C9040000}"/>
    <hyperlink ref="F877" r:id="rId1227" xr:uid="{00000000-0004-0000-0200-0000CA040000}"/>
    <hyperlink ref="G877" r:id="rId1228" xr:uid="{00000000-0004-0000-0200-0000CB040000}"/>
    <hyperlink ref="F879" r:id="rId1229" xr:uid="{00000000-0004-0000-0200-0000CC040000}"/>
    <hyperlink ref="S879" r:id="rId1230" xr:uid="{00000000-0004-0000-0200-0000CD040000}"/>
    <hyperlink ref="C881" r:id="rId1231" xr:uid="{00000000-0004-0000-0200-0000CE040000}"/>
    <hyperlink ref="F881" r:id="rId1232" xr:uid="{00000000-0004-0000-0200-0000CF040000}"/>
    <hyperlink ref="S881" r:id="rId1233" xr:uid="{00000000-0004-0000-0200-0000D0040000}"/>
    <hyperlink ref="F882" r:id="rId1234" xr:uid="{00000000-0004-0000-0200-0000D1040000}"/>
    <hyperlink ref="S882" r:id="rId1235" xr:uid="{00000000-0004-0000-0200-0000D2040000}"/>
    <hyperlink ref="F883" r:id="rId1236" xr:uid="{00000000-0004-0000-0200-0000D3040000}"/>
    <hyperlink ref="F884" r:id="rId1237" xr:uid="{00000000-0004-0000-0200-0000D4040000}"/>
    <hyperlink ref="F886" r:id="rId1238" xr:uid="{00000000-0004-0000-0200-0000D5040000}"/>
    <hyperlink ref="G886" r:id="rId1239" xr:uid="{00000000-0004-0000-0200-0000D6040000}"/>
    <hyperlink ref="S886" r:id="rId1240" xr:uid="{00000000-0004-0000-0200-0000D7040000}"/>
    <hyperlink ref="F887" r:id="rId1241" xr:uid="{00000000-0004-0000-0200-0000D8040000}"/>
    <hyperlink ref="F889" r:id="rId1242" xr:uid="{00000000-0004-0000-0200-0000D9040000}"/>
    <hyperlink ref="G889" r:id="rId1243" xr:uid="{00000000-0004-0000-0200-0000DA040000}"/>
    <hyperlink ref="S889" r:id="rId1244" xr:uid="{00000000-0004-0000-0200-0000DB040000}"/>
    <hyperlink ref="F890" r:id="rId1245" xr:uid="{00000000-0004-0000-0200-0000DC040000}"/>
    <hyperlink ref="G890" r:id="rId1246" xr:uid="{00000000-0004-0000-0200-0000DD040000}"/>
    <hyperlink ref="S890" r:id="rId1247" xr:uid="{00000000-0004-0000-0200-0000DE040000}"/>
    <hyperlink ref="F891" r:id="rId1248" xr:uid="{00000000-0004-0000-0200-0000DF040000}"/>
    <hyperlink ref="G892" r:id="rId1249" xr:uid="{00000000-0004-0000-0200-0000E0040000}"/>
    <hyperlink ref="S892" r:id="rId1250" xr:uid="{00000000-0004-0000-0200-0000E1040000}"/>
    <hyperlink ref="F893" r:id="rId1251" xr:uid="{00000000-0004-0000-0200-0000E2040000}"/>
    <hyperlink ref="G893" r:id="rId1252" xr:uid="{00000000-0004-0000-0200-0000E3040000}"/>
    <hyperlink ref="F894" r:id="rId1253" xr:uid="{00000000-0004-0000-0200-0000E4040000}"/>
    <hyperlink ref="S894" r:id="rId1254" xr:uid="{00000000-0004-0000-0200-0000E5040000}"/>
    <hyperlink ref="F895" r:id="rId1255" xr:uid="{00000000-0004-0000-0200-0000E6040000}"/>
    <hyperlink ref="S895" r:id="rId1256" xr:uid="{00000000-0004-0000-0200-0000E7040000}"/>
    <hyperlink ref="F896" r:id="rId1257" xr:uid="{00000000-0004-0000-0200-0000E8040000}"/>
    <hyperlink ref="G897" r:id="rId1258" xr:uid="{00000000-0004-0000-0200-0000E9040000}"/>
    <hyperlink ref="S897" r:id="rId1259" xr:uid="{00000000-0004-0000-0200-0000EA040000}"/>
    <hyperlink ref="C899" r:id="rId1260" xr:uid="{00000000-0004-0000-0200-0000EB040000}"/>
    <hyperlink ref="F899" r:id="rId1261" xr:uid="{00000000-0004-0000-0200-0000EC040000}"/>
    <hyperlink ref="S899" r:id="rId1262" xr:uid="{00000000-0004-0000-0200-0000ED040000}"/>
    <hyperlink ref="F900" r:id="rId1263" xr:uid="{00000000-0004-0000-0200-0000EE040000}"/>
    <hyperlink ref="G900" r:id="rId1264" xr:uid="{00000000-0004-0000-0200-0000EF040000}"/>
    <hyperlink ref="F901" r:id="rId1265" xr:uid="{00000000-0004-0000-0200-0000F0040000}"/>
    <hyperlink ref="S901" r:id="rId1266" xr:uid="{00000000-0004-0000-0200-0000F1040000}"/>
    <hyperlink ref="F902" r:id="rId1267" xr:uid="{00000000-0004-0000-0200-0000F2040000}"/>
    <hyperlink ref="G902" r:id="rId1268" xr:uid="{00000000-0004-0000-0200-0000F3040000}"/>
    <hyperlink ref="F903" r:id="rId1269" xr:uid="{00000000-0004-0000-0200-0000F4040000}"/>
    <hyperlink ref="S903" r:id="rId1270" xr:uid="{00000000-0004-0000-0200-0000F5040000}"/>
    <hyperlink ref="C904" r:id="rId1271" xr:uid="{00000000-0004-0000-0200-0000F6040000}"/>
    <hyperlink ref="F904" r:id="rId1272" xr:uid="{00000000-0004-0000-0200-0000F7040000}"/>
    <hyperlink ref="S904" r:id="rId1273" xr:uid="{00000000-0004-0000-0200-0000F8040000}"/>
    <hyperlink ref="F905" r:id="rId1274" xr:uid="{00000000-0004-0000-0200-0000F9040000}"/>
    <hyperlink ref="F907" r:id="rId1275" xr:uid="{00000000-0004-0000-0200-0000FA040000}"/>
    <hyperlink ref="F908" r:id="rId1276" xr:uid="{00000000-0004-0000-0200-0000FB040000}"/>
    <hyperlink ref="G908" r:id="rId1277" xr:uid="{00000000-0004-0000-0200-0000FC040000}"/>
    <hyperlink ref="F910" r:id="rId1278" xr:uid="{00000000-0004-0000-0200-0000FD040000}"/>
    <hyperlink ref="S910" r:id="rId1279" xr:uid="{00000000-0004-0000-0200-0000FE040000}"/>
    <hyperlink ref="Q911" r:id="rId1280" xr:uid="{00000000-0004-0000-0200-0000FF040000}"/>
    <hyperlink ref="S911" r:id="rId1281" xr:uid="{00000000-0004-0000-0200-000000050000}"/>
    <hyperlink ref="F912" r:id="rId1282" xr:uid="{00000000-0004-0000-0200-000001050000}"/>
    <hyperlink ref="F913" r:id="rId1283" xr:uid="{00000000-0004-0000-0200-000002050000}"/>
    <hyperlink ref="S913" r:id="rId1284" xr:uid="{00000000-0004-0000-0200-000003050000}"/>
    <hyperlink ref="F914" r:id="rId1285" xr:uid="{00000000-0004-0000-0200-000004050000}"/>
    <hyperlink ref="S914" r:id="rId1286" xr:uid="{00000000-0004-0000-0200-000005050000}"/>
    <hyperlink ref="F915" r:id="rId1287" xr:uid="{00000000-0004-0000-0200-000006050000}"/>
    <hyperlink ref="G915" r:id="rId1288" xr:uid="{00000000-0004-0000-0200-000007050000}"/>
    <hyperlink ref="S915" r:id="rId1289" xr:uid="{00000000-0004-0000-0200-000008050000}"/>
    <hyperlink ref="F916" r:id="rId1290" xr:uid="{00000000-0004-0000-0200-000009050000}"/>
    <hyperlink ref="S916" r:id="rId1291" xr:uid="{00000000-0004-0000-0200-00000A050000}"/>
    <hyperlink ref="G917" r:id="rId1292" xr:uid="{00000000-0004-0000-0200-00000B050000}"/>
    <hyperlink ref="F918" r:id="rId1293" xr:uid="{00000000-0004-0000-0200-00000C050000}"/>
    <hyperlink ref="S918" r:id="rId1294" xr:uid="{00000000-0004-0000-0200-00000D050000}"/>
    <hyperlink ref="F919" r:id="rId1295" xr:uid="{00000000-0004-0000-0200-00000E050000}"/>
    <hyperlink ref="G919" r:id="rId1296" xr:uid="{00000000-0004-0000-0200-00000F050000}"/>
    <hyperlink ref="F920" r:id="rId1297" xr:uid="{00000000-0004-0000-0200-000010050000}"/>
    <hyperlink ref="F921" r:id="rId1298" xr:uid="{00000000-0004-0000-0200-000011050000}"/>
    <hyperlink ref="S921" r:id="rId1299" xr:uid="{00000000-0004-0000-0200-000012050000}"/>
    <hyperlink ref="F923" r:id="rId1300" xr:uid="{00000000-0004-0000-0200-000013050000}"/>
    <hyperlink ref="F924" r:id="rId1301" xr:uid="{00000000-0004-0000-0200-000014050000}"/>
    <hyperlink ref="G924" r:id="rId1302" xr:uid="{00000000-0004-0000-0200-000015050000}"/>
    <hyperlink ref="S924" r:id="rId1303" xr:uid="{00000000-0004-0000-0200-000016050000}"/>
    <hyperlink ref="F925" r:id="rId1304" xr:uid="{00000000-0004-0000-0200-000017050000}"/>
    <hyperlink ref="F926" r:id="rId1305" xr:uid="{00000000-0004-0000-0200-000018050000}"/>
    <hyperlink ref="G926" r:id="rId1306" xr:uid="{00000000-0004-0000-0200-000019050000}"/>
    <hyperlink ref="S926" r:id="rId1307" xr:uid="{00000000-0004-0000-0200-00001A050000}"/>
    <hyperlink ref="F927" r:id="rId1308" xr:uid="{00000000-0004-0000-0200-00001B050000}"/>
    <hyperlink ref="G927" r:id="rId1309" xr:uid="{00000000-0004-0000-0200-00001C050000}"/>
    <hyperlink ref="S927" r:id="rId1310" xr:uid="{00000000-0004-0000-0200-00001D050000}"/>
    <hyperlink ref="G928" r:id="rId1311" xr:uid="{00000000-0004-0000-0200-00001E050000}"/>
    <hyperlink ref="S928" r:id="rId1312" xr:uid="{00000000-0004-0000-0200-00001F050000}"/>
    <hyperlink ref="F929" r:id="rId1313" xr:uid="{00000000-0004-0000-0200-000020050000}"/>
    <hyperlink ref="G929" r:id="rId1314" xr:uid="{00000000-0004-0000-0200-000021050000}"/>
    <hyperlink ref="S929" r:id="rId1315" xr:uid="{00000000-0004-0000-0200-000022050000}"/>
    <hyperlink ref="F930" r:id="rId1316" xr:uid="{00000000-0004-0000-0200-000023050000}"/>
    <hyperlink ref="F931" r:id="rId1317" xr:uid="{00000000-0004-0000-0200-000024050000}"/>
    <hyperlink ref="S931" r:id="rId1318" xr:uid="{00000000-0004-0000-0200-000025050000}"/>
    <hyperlink ref="F932" r:id="rId1319" xr:uid="{00000000-0004-0000-0200-000026050000}"/>
    <hyperlink ref="S932" r:id="rId1320" xr:uid="{00000000-0004-0000-0200-000027050000}"/>
    <hyperlink ref="F933" r:id="rId1321" xr:uid="{00000000-0004-0000-0200-000028050000}"/>
    <hyperlink ref="F934" r:id="rId1322" xr:uid="{00000000-0004-0000-0200-000029050000}"/>
    <hyperlink ref="G934" r:id="rId1323" xr:uid="{00000000-0004-0000-0200-00002A050000}"/>
    <hyperlink ref="F936" r:id="rId1324" xr:uid="{00000000-0004-0000-0200-00002B050000}"/>
    <hyperlink ref="G936" r:id="rId1325" xr:uid="{00000000-0004-0000-0200-00002C050000}"/>
    <hyperlink ref="S936" r:id="rId1326" xr:uid="{00000000-0004-0000-0200-00002D050000}"/>
    <hyperlink ref="F937" r:id="rId1327" xr:uid="{00000000-0004-0000-0200-00002E050000}"/>
    <hyperlink ref="S937" r:id="rId1328" xr:uid="{00000000-0004-0000-0200-00002F050000}"/>
    <hyperlink ref="F938" r:id="rId1329" xr:uid="{00000000-0004-0000-0200-000030050000}"/>
    <hyperlink ref="G938" r:id="rId1330" xr:uid="{00000000-0004-0000-0200-000031050000}"/>
    <hyperlink ref="S938" r:id="rId1331" xr:uid="{00000000-0004-0000-0200-000032050000}"/>
    <hyperlink ref="F939" r:id="rId1332" xr:uid="{00000000-0004-0000-0200-000033050000}"/>
    <hyperlink ref="S939" r:id="rId1333" xr:uid="{00000000-0004-0000-0200-000034050000}"/>
    <hyperlink ref="F940" r:id="rId1334" xr:uid="{00000000-0004-0000-0200-000035050000}"/>
    <hyperlink ref="F941" r:id="rId1335" xr:uid="{00000000-0004-0000-0200-000036050000}"/>
    <hyperlink ref="G941" r:id="rId1336" xr:uid="{00000000-0004-0000-0200-000037050000}"/>
    <hyperlink ref="S941" r:id="rId1337" xr:uid="{00000000-0004-0000-0200-000038050000}"/>
    <hyperlink ref="F942" r:id="rId1338" xr:uid="{00000000-0004-0000-0200-000039050000}"/>
    <hyperlink ref="G942" r:id="rId1339" xr:uid="{00000000-0004-0000-0200-00003A050000}"/>
    <hyperlink ref="S942" r:id="rId1340" xr:uid="{00000000-0004-0000-0200-00003B050000}"/>
    <hyperlink ref="G943" r:id="rId1341" xr:uid="{00000000-0004-0000-0200-00003C050000}"/>
    <hyperlink ref="S943" r:id="rId1342" xr:uid="{00000000-0004-0000-0200-00003D050000}"/>
    <hyperlink ref="F944" r:id="rId1343" location=".W_eLRJeypmB.twitter" xr:uid="{00000000-0004-0000-0200-00003E050000}"/>
    <hyperlink ref="S944" r:id="rId1344" xr:uid="{00000000-0004-0000-0200-00003F050000}"/>
    <hyperlink ref="F945" r:id="rId1345" xr:uid="{00000000-0004-0000-0200-000040050000}"/>
    <hyperlink ref="F946" r:id="rId1346" xr:uid="{00000000-0004-0000-0200-000041050000}"/>
    <hyperlink ref="G946" r:id="rId1347" xr:uid="{00000000-0004-0000-0200-000042050000}"/>
    <hyperlink ref="S946" r:id="rId1348" xr:uid="{00000000-0004-0000-0200-000043050000}"/>
    <hyperlink ref="F947" r:id="rId1349" xr:uid="{00000000-0004-0000-0200-000044050000}"/>
    <hyperlink ref="S947" r:id="rId1350" xr:uid="{00000000-0004-0000-0200-000045050000}"/>
    <hyperlink ref="F948" r:id="rId1351" xr:uid="{00000000-0004-0000-0200-000046050000}"/>
    <hyperlink ref="G948" r:id="rId1352" xr:uid="{00000000-0004-0000-0200-000047050000}"/>
    <hyperlink ref="S948" r:id="rId1353" xr:uid="{00000000-0004-0000-0200-000048050000}"/>
    <hyperlink ref="F949" r:id="rId1354" xr:uid="{00000000-0004-0000-0200-000049050000}"/>
    <hyperlink ref="S949" r:id="rId1355" xr:uid="{00000000-0004-0000-0200-00004A050000}"/>
    <hyperlink ref="F950" r:id="rId1356" xr:uid="{00000000-0004-0000-0200-00004B050000}"/>
    <hyperlink ref="S950" r:id="rId1357" xr:uid="{00000000-0004-0000-0200-00004C050000}"/>
    <hyperlink ref="F952" r:id="rId1358" xr:uid="{00000000-0004-0000-0200-00004D050000}"/>
    <hyperlink ref="F953" r:id="rId1359" xr:uid="{00000000-0004-0000-0200-00004E050000}"/>
    <hyperlink ref="F954" r:id="rId1360" xr:uid="{00000000-0004-0000-0200-00004F050000}"/>
    <hyperlink ref="F955" r:id="rId1361" xr:uid="{00000000-0004-0000-0200-000050050000}"/>
    <hyperlink ref="F956" r:id="rId1362" xr:uid="{00000000-0004-0000-0200-000051050000}"/>
    <hyperlink ref="S956" r:id="rId1363" xr:uid="{00000000-0004-0000-0200-000052050000}"/>
    <hyperlink ref="F957" r:id="rId1364" xr:uid="{00000000-0004-0000-0200-000053050000}"/>
    <hyperlink ref="F958" r:id="rId1365" xr:uid="{00000000-0004-0000-0200-000054050000}"/>
    <hyperlink ref="S958" r:id="rId1366" xr:uid="{00000000-0004-0000-0200-000055050000}"/>
    <hyperlink ref="F959" r:id="rId1367" xr:uid="{00000000-0004-0000-0200-000056050000}"/>
    <hyperlink ref="S959" r:id="rId1368" xr:uid="{00000000-0004-0000-0200-000057050000}"/>
    <hyperlink ref="F960" r:id="rId1369" xr:uid="{00000000-0004-0000-0200-000058050000}"/>
    <hyperlink ref="S960" r:id="rId1370" xr:uid="{00000000-0004-0000-0200-000059050000}"/>
    <hyperlink ref="F961" r:id="rId1371" xr:uid="{00000000-0004-0000-0200-00005A050000}"/>
    <hyperlink ref="F962" r:id="rId1372" xr:uid="{00000000-0004-0000-0200-00005B050000}"/>
    <hyperlink ref="F963" r:id="rId1373" xr:uid="{00000000-0004-0000-0200-00005C050000}"/>
    <hyperlink ref="F964" r:id="rId1374" xr:uid="{00000000-0004-0000-0200-00005D050000}"/>
    <hyperlink ref="G964" r:id="rId1375" xr:uid="{00000000-0004-0000-0200-00005E050000}"/>
    <hyperlink ref="S964" r:id="rId1376" xr:uid="{00000000-0004-0000-0200-00005F050000}"/>
    <hyperlink ref="F965" r:id="rId1377" xr:uid="{00000000-0004-0000-0200-000060050000}"/>
    <hyperlink ref="G965" r:id="rId1378" xr:uid="{00000000-0004-0000-0200-000061050000}"/>
    <hyperlink ref="S965" r:id="rId1379" xr:uid="{00000000-0004-0000-0200-000062050000}"/>
    <hyperlink ref="F966" r:id="rId1380" xr:uid="{00000000-0004-0000-0200-000063050000}"/>
    <hyperlink ref="S966" r:id="rId1381" xr:uid="{00000000-0004-0000-0200-000064050000}"/>
    <hyperlink ref="F967" r:id="rId1382" xr:uid="{00000000-0004-0000-0200-000065050000}"/>
    <hyperlink ref="F968" r:id="rId1383" xr:uid="{00000000-0004-0000-0200-000066050000}"/>
    <hyperlink ref="S968" r:id="rId1384" xr:uid="{00000000-0004-0000-0200-000067050000}"/>
    <hyperlink ref="F969" r:id="rId1385" xr:uid="{00000000-0004-0000-0200-000068050000}"/>
    <hyperlink ref="F970" r:id="rId1386" xr:uid="{00000000-0004-0000-0200-000069050000}"/>
    <hyperlink ref="G970" r:id="rId1387" xr:uid="{00000000-0004-0000-0200-00006A050000}"/>
    <hyperlink ref="S970" r:id="rId1388" xr:uid="{00000000-0004-0000-0200-00006B050000}"/>
    <hyperlink ref="G971" r:id="rId1389" xr:uid="{00000000-0004-0000-0200-00006C050000}"/>
    <hyperlink ref="F972" r:id="rId1390" xr:uid="{00000000-0004-0000-0200-00006D050000}"/>
    <hyperlink ref="S972" r:id="rId1391" xr:uid="{00000000-0004-0000-0200-00006E050000}"/>
    <hyperlink ref="F973" r:id="rId1392" xr:uid="{00000000-0004-0000-0200-00006F050000}"/>
    <hyperlink ref="F974" r:id="rId1393" xr:uid="{00000000-0004-0000-0200-000070050000}"/>
    <hyperlink ref="S974" r:id="rId1394" xr:uid="{00000000-0004-0000-0200-000071050000}"/>
    <hyperlink ref="F975" r:id="rId1395" xr:uid="{00000000-0004-0000-0200-000072050000}"/>
    <hyperlink ref="G975" r:id="rId1396" xr:uid="{00000000-0004-0000-0200-000073050000}"/>
    <hyperlink ref="S975" r:id="rId1397" xr:uid="{00000000-0004-0000-0200-000074050000}"/>
    <hyperlink ref="F976" r:id="rId1398" xr:uid="{00000000-0004-0000-0200-000075050000}"/>
    <hyperlink ref="G976" r:id="rId1399" xr:uid="{00000000-0004-0000-0200-000076050000}"/>
    <hyperlink ref="S976" r:id="rId1400" xr:uid="{00000000-0004-0000-0200-000077050000}"/>
    <hyperlink ref="F977" r:id="rId1401" xr:uid="{00000000-0004-0000-0200-000078050000}"/>
    <hyperlink ref="G977" r:id="rId1402" xr:uid="{00000000-0004-0000-0200-000079050000}"/>
    <hyperlink ref="F978" r:id="rId1403" xr:uid="{00000000-0004-0000-0200-00007A050000}"/>
    <hyperlink ref="G978" r:id="rId1404" xr:uid="{00000000-0004-0000-0200-00007B050000}"/>
    <hyperlink ref="S978" r:id="rId1405" xr:uid="{00000000-0004-0000-0200-00007C050000}"/>
    <hyperlink ref="F979" r:id="rId1406" xr:uid="{00000000-0004-0000-0200-00007D050000}"/>
    <hyperlink ref="G979" r:id="rId1407" xr:uid="{00000000-0004-0000-0200-00007E050000}"/>
    <hyperlink ref="S979" r:id="rId1408" xr:uid="{00000000-0004-0000-0200-00007F050000}"/>
    <hyperlink ref="F980" r:id="rId1409" xr:uid="{00000000-0004-0000-0200-000080050000}"/>
    <hyperlink ref="G980" r:id="rId1410" xr:uid="{00000000-0004-0000-0200-000081050000}"/>
    <hyperlink ref="S980" r:id="rId1411" xr:uid="{00000000-0004-0000-0200-000082050000}"/>
    <hyperlink ref="F981" r:id="rId1412" xr:uid="{00000000-0004-0000-0200-000083050000}"/>
    <hyperlink ref="S981" r:id="rId1413" xr:uid="{00000000-0004-0000-0200-000084050000}"/>
    <hyperlink ref="F982" r:id="rId1414" xr:uid="{00000000-0004-0000-0200-000085050000}"/>
    <hyperlink ref="S982" r:id="rId1415" xr:uid="{00000000-0004-0000-0200-000086050000}"/>
    <hyperlink ref="F983" r:id="rId1416" xr:uid="{00000000-0004-0000-0200-000087050000}"/>
    <hyperlink ref="G984" r:id="rId1417" xr:uid="{00000000-0004-0000-0200-000088050000}"/>
    <hyperlink ref="S984" r:id="rId1418" xr:uid="{00000000-0004-0000-0200-000089050000}"/>
    <hyperlink ref="G985" r:id="rId1419" xr:uid="{00000000-0004-0000-0200-00008A050000}"/>
    <hyperlink ref="S985" r:id="rId1420" xr:uid="{00000000-0004-0000-0200-00008B050000}"/>
    <hyperlink ref="G986" r:id="rId1421" xr:uid="{00000000-0004-0000-0200-00008C050000}"/>
    <hyperlink ref="S986" r:id="rId1422" xr:uid="{00000000-0004-0000-0200-00008D050000}"/>
    <hyperlink ref="F987" r:id="rId1423" xr:uid="{00000000-0004-0000-0200-00008E050000}"/>
    <hyperlink ref="S987" r:id="rId1424" xr:uid="{00000000-0004-0000-0200-00008F050000}"/>
    <hyperlink ref="F988" r:id="rId1425" xr:uid="{00000000-0004-0000-0200-000090050000}"/>
    <hyperlink ref="S988" r:id="rId1426" xr:uid="{00000000-0004-0000-0200-000091050000}"/>
    <hyperlink ref="G989" r:id="rId1427" xr:uid="{00000000-0004-0000-0200-000092050000}"/>
    <hyperlink ref="S989" r:id="rId1428" xr:uid="{00000000-0004-0000-0200-000093050000}"/>
    <hyperlink ref="F990" r:id="rId1429" xr:uid="{00000000-0004-0000-0200-000094050000}"/>
    <hyperlink ref="F991" r:id="rId1430" xr:uid="{00000000-0004-0000-0200-000095050000}"/>
    <hyperlink ref="F992" r:id="rId1431" xr:uid="{00000000-0004-0000-0200-000096050000}"/>
    <hyperlink ref="S992" r:id="rId1432" xr:uid="{00000000-0004-0000-0200-000097050000}"/>
    <hyperlink ref="G993" r:id="rId1433" xr:uid="{00000000-0004-0000-0200-000098050000}"/>
    <hyperlink ref="S993" r:id="rId1434" xr:uid="{00000000-0004-0000-0200-000099050000}"/>
    <hyperlink ref="F994" r:id="rId1435" location=".W_dzRG1w-UM.twitter" xr:uid="{00000000-0004-0000-0200-00009A050000}"/>
    <hyperlink ref="F995" r:id="rId1436" xr:uid="{00000000-0004-0000-0200-00009B050000}"/>
    <hyperlink ref="G995" r:id="rId1437" xr:uid="{00000000-0004-0000-0200-00009C050000}"/>
    <hyperlink ref="S995" r:id="rId1438" xr:uid="{00000000-0004-0000-0200-00009D050000}"/>
    <hyperlink ref="F996" r:id="rId1439" xr:uid="{00000000-0004-0000-0200-00009E050000}"/>
    <hyperlink ref="S996" r:id="rId1440" xr:uid="{00000000-0004-0000-0200-00009F050000}"/>
    <hyperlink ref="F997" r:id="rId1441" xr:uid="{00000000-0004-0000-0200-0000A0050000}"/>
    <hyperlink ref="S997" r:id="rId1442" xr:uid="{00000000-0004-0000-0200-0000A1050000}"/>
    <hyperlink ref="F998" r:id="rId1443" xr:uid="{00000000-0004-0000-0200-0000A2050000}"/>
    <hyperlink ref="S998" r:id="rId1444" xr:uid="{00000000-0004-0000-0200-0000A3050000}"/>
    <hyperlink ref="F999" r:id="rId1445" xr:uid="{00000000-0004-0000-0200-0000A4050000}"/>
    <hyperlink ref="S999" r:id="rId1446" xr:uid="{00000000-0004-0000-0200-0000A5050000}"/>
    <hyperlink ref="F1000" r:id="rId1447" xr:uid="{00000000-0004-0000-0200-0000A6050000}"/>
    <hyperlink ref="F1001" r:id="rId1448" xr:uid="{00000000-0004-0000-0200-0000A7050000}"/>
    <hyperlink ref="G1001" r:id="rId1449" xr:uid="{00000000-0004-0000-0200-0000A8050000}"/>
    <hyperlink ref="S1001" r:id="rId1450" xr:uid="{00000000-0004-0000-0200-0000A9050000}"/>
    <hyperlink ref="F1002" r:id="rId1451" xr:uid="{00000000-0004-0000-0200-0000AA050000}"/>
    <hyperlink ref="S1002" r:id="rId1452" xr:uid="{00000000-0004-0000-0200-0000AB050000}"/>
    <hyperlink ref="F1003" r:id="rId1453" xr:uid="{00000000-0004-0000-0200-0000AC050000}"/>
    <hyperlink ref="S1003" r:id="rId1454" xr:uid="{00000000-0004-0000-0200-0000AD050000}"/>
    <hyperlink ref="F1004" r:id="rId1455" xr:uid="{00000000-0004-0000-0200-0000AE050000}"/>
    <hyperlink ref="S1004" r:id="rId1456" xr:uid="{00000000-0004-0000-0200-0000AF050000}"/>
    <hyperlink ref="F1005" r:id="rId1457" xr:uid="{00000000-0004-0000-0200-0000B0050000}"/>
    <hyperlink ref="G1005" r:id="rId1458" xr:uid="{00000000-0004-0000-0200-0000B1050000}"/>
    <hyperlink ref="S1005" r:id="rId1459" xr:uid="{00000000-0004-0000-0200-0000B2050000}"/>
    <hyperlink ref="F1006" r:id="rId1460" xr:uid="{00000000-0004-0000-0200-0000B3050000}"/>
    <hyperlink ref="S1006" r:id="rId1461" xr:uid="{00000000-0004-0000-0200-0000B4050000}"/>
    <hyperlink ref="F1007" r:id="rId1462" xr:uid="{00000000-0004-0000-0200-0000B5050000}"/>
    <hyperlink ref="S1007" r:id="rId1463" xr:uid="{00000000-0004-0000-0200-0000B6050000}"/>
    <hyperlink ref="G1008" r:id="rId1464" xr:uid="{00000000-0004-0000-0200-0000B7050000}"/>
    <hyperlink ref="S1008" r:id="rId1465" xr:uid="{00000000-0004-0000-0200-0000B8050000}"/>
    <hyperlink ref="F1009" r:id="rId1466" location="declaracion" xr:uid="{00000000-0004-0000-0200-0000B9050000}"/>
    <hyperlink ref="F1010" r:id="rId1467" xr:uid="{00000000-0004-0000-0200-0000BA050000}"/>
    <hyperlink ref="S1010" r:id="rId1468" xr:uid="{00000000-0004-0000-0200-0000BB050000}"/>
    <hyperlink ref="F1011" r:id="rId1469" xr:uid="{00000000-0004-0000-0200-0000BC050000}"/>
    <hyperlink ref="G1011" r:id="rId1470" xr:uid="{00000000-0004-0000-0200-0000BD050000}"/>
    <hyperlink ref="S1011" r:id="rId1471" xr:uid="{00000000-0004-0000-0200-0000BE050000}"/>
    <hyperlink ref="F1012" r:id="rId1472" xr:uid="{00000000-0004-0000-0200-0000BF050000}"/>
    <hyperlink ref="G1012" r:id="rId1473" xr:uid="{00000000-0004-0000-0200-0000C0050000}"/>
    <hyperlink ref="S1012" r:id="rId1474" xr:uid="{00000000-0004-0000-0200-0000C1050000}"/>
    <hyperlink ref="F1013" r:id="rId1475" xr:uid="{00000000-0004-0000-0200-0000C2050000}"/>
    <hyperlink ref="S1013" r:id="rId1476" xr:uid="{00000000-0004-0000-0200-0000C3050000}"/>
    <hyperlink ref="F1014" r:id="rId1477" xr:uid="{00000000-0004-0000-0200-0000C4050000}"/>
    <hyperlink ref="G1014" r:id="rId1478" xr:uid="{00000000-0004-0000-0200-0000C5050000}"/>
    <hyperlink ref="S1014" r:id="rId1479" xr:uid="{00000000-0004-0000-0200-0000C6050000}"/>
    <hyperlink ref="F1015" r:id="rId1480" xr:uid="{00000000-0004-0000-0200-0000C7050000}"/>
    <hyperlink ref="S1015" r:id="rId1481" xr:uid="{00000000-0004-0000-0200-0000C8050000}"/>
    <hyperlink ref="F1016" r:id="rId1482" xr:uid="{00000000-0004-0000-0200-0000C9050000}"/>
    <hyperlink ref="F1017" r:id="rId1483" location=".W_dtvgZ7Vhw.twitter" xr:uid="{00000000-0004-0000-0200-0000CA050000}"/>
    <hyperlink ref="F1018" r:id="rId1484" xr:uid="{00000000-0004-0000-0200-0000CB050000}"/>
    <hyperlink ref="S1018" r:id="rId1485" xr:uid="{00000000-0004-0000-0200-0000CC050000}"/>
    <hyperlink ref="F1019" r:id="rId1486" xr:uid="{00000000-0004-0000-0200-0000CD050000}"/>
    <hyperlink ref="G1019" r:id="rId1487" xr:uid="{00000000-0004-0000-0200-0000CE050000}"/>
    <hyperlink ref="S1019" r:id="rId1488" xr:uid="{00000000-0004-0000-0200-0000CF050000}"/>
    <hyperlink ref="F1020" r:id="rId1489" xr:uid="{00000000-0004-0000-0200-0000D0050000}"/>
    <hyperlink ref="F1021" r:id="rId1490" location="ns_campaign=jcbt&amp;ns_mchannel=diariosur&amp;ns_source=tw&amp;ns_linkname=ltl&amp;1542941676" xr:uid="{00000000-0004-0000-0200-0000D1050000}"/>
    <hyperlink ref="S1021" r:id="rId1491" xr:uid="{00000000-0004-0000-0200-0000D2050000}"/>
    <hyperlink ref="F1022" r:id="rId1492" xr:uid="{00000000-0004-0000-0200-0000D3050000}"/>
    <hyperlink ref="S1022" r:id="rId1493" xr:uid="{00000000-0004-0000-0200-0000D4050000}"/>
    <hyperlink ref="F1023" r:id="rId1494" xr:uid="{00000000-0004-0000-0200-0000D5050000}"/>
    <hyperlink ref="S1023" r:id="rId1495" xr:uid="{00000000-0004-0000-0200-0000D6050000}"/>
    <hyperlink ref="F1024" r:id="rId1496" location=".W_dpq3vWtgc.twitter" xr:uid="{00000000-0004-0000-0200-0000D7050000}"/>
    <hyperlink ref="F1025" r:id="rId1497" xr:uid="{00000000-0004-0000-0200-0000D8050000}"/>
    <hyperlink ref="S1025" r:id="rId1498" xr:uid="{00000000-0004-0000-0200-0000D9050000}"/>
    <hyperlink ref="F1026" r:id="rId1499" xr:uid="{00000000-0004-0000-0200-0000DA050000}"/>
    <hyperlink ref="S1026" r:id="rId1500" xr:uid="{00000000-0004-0000-0200-0000DB050000}"/>
    <hyperlink ref="F1027" r:id="rId1501" xr:uid="{00000000-0004-0000-0200-0000DC050000}"/>
    <hyperlink ref="S1027" r:id="rId1502" xr:uid="{00000000-0004-0000-0200-0000DD050000}"/>
    <hyperlink ref="F1028" r:id="rId1503" xr:uid="{00000000-0004-0000-0200-0000DE050000}"/>
    <hyperlink ref="G1028" r:id="rId1504" xr:uid="{00000000-0004-0000-0200-0000DF050000}"/>
    <hyperlink ref="S1028" r:id="rId1505" xr:uid="{00000000-0004-0000-0200-0000E0050000}"/>
    <hyperlink ref="F1029" r:id="rId1506" xr:uid="{00000000-0004-0000-0200-0000E1050000}"/>
    <hyperlink ref="S1029" r:id="rId1507" xr:uid="{00000000-0004-0000-0200-0000E2050000}"/>
    <hyperlink ref="F1030" r:id="rId1508" xr:uid="{00000000-0004-0000-0200-0000E3050000}"/>
    <hyperlink ref="G1030" r:id="rId1509" xr:uid="{00000000-0004-0000-0200-0000E4050000}"/>
    <hyperlink ref="S1030" r:id="rId1510" xr:uid="{00000000-0004-0000-0200-0000E5050000}"/>
    <hyperlink ref="F1031" r:id="rId1511" xr:uid="{00000000-0004-0000-0200-0000E6050000}"/>
    <hyperlink ref="G1031" r:id="rId1512" xr:uid="{00000000-0004-0000-0200-0000E7050000}"/>
    <hyperlink ref="F1032" r:id="rId1513" xr:uid="{00000000-0004-0000-0200-0000E8050000}"/>
    <hyperlink ref="S1032" r:id="rId1514" xr:uid="{00000000-0004-0000-0200-0000E9050000}"/>
    <hyperlink ref="F1033" r:id="rId1515" xr:uid="{00000000-0004-0000-0200-0000EA050000}"/>
    <hyperlink ref="G1033" r:id="rId1516" xr:uid="{00000000-0004-0000-0200-0000EB050000}"/>
    <hyperlink ref="S1033" r:id="rId1517" xr:uid="{00000000-0004-0000-0200-0000EC050000}"/>
    <hyperlink ref="F1034" r:id="rId1518" xr:uid="{00000000-0004-0000-0200-0000ED050000}"/>
    <hyperlink ref="F1035" r:id="rId1519" xr:uid="{00000000-0004-0000-0200-0000EE050000}"/>
    <hyperlink ref="F1036" r:id="rId1520" xr:uid="{00000000-0004-0000-0200-0000EF050000}"/>
    <hyperlink ref="F1037" r:id="rId1521" xr:uid="{00000000-0004-0000-0200-0000F0050000}"/>
    <hyperlink ref="S1037" r:id="rId1522" xr:uid="{00000000-0004-0000-0200-0000F1050000}"/>
    <hyperlink ref="F1038" r:id="rId1523" xr:uid="{00000000-0004-0000-0200-0000F2050000}"/>
    <hyperlink ref="S1038" r:id="rId1524" xr:uid="{00000000-0004-0000-0200-0000F3050000}"/>
    <hyperlink ref="F1039" r:id="rId1525" xr:uid="{00000000-0004-0000-0200-0000F4050000}"/>
    <hyperlink ref="G1039" r:id="rId1526" xr:uid="{00000000-0004-0000-0200-0000F5050000}"/>
    <hyperlink ref="S1039" r:id="rId1527" xr:uid="{00000000-0004-0000-0200-0000F6050000}"/>
    <hyperlink ref="F1040" r:id="rId1528" xr:uid="{00000000-0004-0000-0200-0000F7050000}"/>
    <hyperlink ref="S1040" r:id="rId1529" xr:uid="{00000000-0004-0000-0200-0000F8050000}"/>
    <hyperlink ref="F1041" r:id="rId1530" xr:uid="{00000000-0004-0000-0200-0000F9050000}"/>
    <hyperlink ref="G1041" r:id="rId1531" xr:uid="{00000000-0004-0000-0200-0000FA050000}"/>
    <hyperlink ref="S1041" r:id="rId1532" xr:uid="{00000000-0004-0000-0200-0000FB050000}"/>
    <hyperlink ref="F1042" r:id="rId1533" xr:uid="{00000000-0004-0000-0200-0000FC050000}"/>
    <hyperlink ref="S1042" r:id="rId1534" xr:uid="{00000000-0004-0000-0200-0000FD050000}"/>
    <hyperlink ref="F1043" r:id="rId1535" xr:uid="{00000000-0004-0000-0200-0000FE050000}"/>
    <hyperlink ref="S1043" r:id="rId1536" xr:uid="{00000000-0004-0000-0200-0000FF050000}"/>
    <hyperlink ref="F1044" r:id="rId1537" xr:uid="{00000000-0004-0000-0200-000000060000}"/>
    <hyperlink ref="S1044" r:id="rId1538" xr:uid="{00000000-0004-0000-0200-000001060000}"/>
    <hyperlink ref="F1045" r:id="rId1539" xr:uid="{00000000-0004-0000-0200-000002060000}"/>
    <hyperlink ref="F1046" r:id="rId1540" xr:uid="{00000000-0004-0000-0200-000003060000}"/>
    <hyperlink ref="G1046" r:id="rId1541" xr:uid="{00000000-0004-0000-0200-000004060000}"/>
    <hyperlink ref="S1046" r:id="rId1542" xr:uid="{00000000-0004-0000-0200-000005060000}"/>
    <hyperlink ref="G1047" r:id="rId1543" xr:uid="{00000000-0004-0000-0200-000006060000}"/>
    <hyperlink ref="F1049" r:id="rId1544" xr:uid="{00000000-0004-0000-0200-000007060000}"/>
    <hyperlink ref="G1049" r:id="rId1545" xr:uid="{00000000-0004-0000-0200-000008060000}"/>
    <hyperlink ref="S1049" r:id="rId1546" xr:uid="{00000000-0004-0000-0200-000009060000}"/>
    <hyperlink ref="F1050" r:id="rId1547" xr:uid="{00000000-0004-0000-0200-00000A060000}"/>
    <hyperlink ref="G1050" r:id="rId1548" xr:uid="{00000000-0004-0000-0200-00000B060000}"/>
    <hyperlink ref="S1050" r:id="rId1549" xr:uid="{00000000-0004-0000-0200-00000C060000}"/>
    <hyperlink ref="G1051" r:id="rId1550" xr:uid="{00000000-0004-0000-0200-00000D060000}"/>
    <hyperlink ref="F1052" r:id="rId1551" xr:uid="{00000000-0004-0000-0200-00000E060000}"/>
    <hyperlink ref="S1052" r:id="rId1552" xr:uid="{00000000-0004-0000-0200-00000F060000}"/>
    <hyperlink ref="F1053" r:id="rId1553" xr:uid="{00000000-0004-0000-0200-000010060000}"/>
    <hyperlink ref="S1053" r:id="rId1554" xr:uid="{00000000-0004-0000-0200-000011060000}"/>
    <hyperlink ref="F1054" r:id="rId1555" xr:uid="{00000000-0004-0000-0200-000012060000}"/>
    <hyperlink ref="F1055" r:id="rId1556" xr:uid="{00000000-0004-0000-0200-000013060000}"/>
    <hyperlink ref="S1055" r:id="rId1557" xr:uid="{00000000-0004-0000-0200-000014060000}"/>
    <hyperlink ref="F1056" r:id="rId1558" xr:uid="{00000000-0004-0000-0200-000015060000}"/>
    <hyperlink ref="S1056" r:id="rId1559" xr:uid="{00000000-0004-0000-0200-000016060000}"/>
    <hyperlink ref="F1057" r:id="rId1560" location=".W_dfy7Pf47I.twitter" xr:uid="{00000000-0004-0000-0200-000017060000}"/>
    <hyperlink ref="S1057" r:id="rId1561" xr:uid="{00000000-0004-0000-0200-000018060000}"/>
    <hyperlink ref="F1058" r:id="rId1562" xr:uid="{00000000-0004-0000-0200-000019060000}"/>
    <hyperlink ref="S1058" r:id="rId1563" xr:uid="{00000000-0004-0000-0200-00001A060000}"/>
    <hyperlink ref="F1059" r:id="rId1564" xr:uid="{00000000-0004-0000-0200-00001B060000}"/>
    <hyperlink ref="F1060" r:id="rId1565" xr:uid="{00000000-0004-0000-0200-00001C060000}"/>
    <hyperlink ref="F1061" r:id="rId1566" xr:uid="{00000000-0004-0000-0200-00001D060000}"/>
    <hyperlink ref="F1063" r:id="rId1567" xr:uid="{00000000-0004-0000-0200-00001E060000}"/>
    <hyperlink ref="S1063" r:id="rId1568" xr:uid="{00000000-0004-0000-0200-00001F060000}"/>
    <hyperlink ref="F1064" r:id="rId1569" xr:uid="{00000000-0004-0000-0200-000020060000}"/>
    <hyperlink ref="S1064" r:id="rId1570" xr:uid="{00000000-0004-0000-0200-000021060000}"/>
    <hyperlink ref="F1065" r:id="rId1571" xr:uid="{00000000-0004-0000-0200-000022060000}"/>
    <hyperlink ref="S1065" r:id="rId1572" xr:uid="{00000000-0004-0000-0200-000023060000}"/>
    <hyperlink ref="F1066" r:id="rId1573" xr:uid="{00000000-0004-0000-0200-000024060000}"/>
    <hyperlink ref="S1066" r:id="rId1574" xr:uid="{00000000-0004-0000-0200-000025060000}"/>
    <hyperlink ref="G1067" r:id="rId1575" xr:uid="{00000000-0004-0000-0200-000026060000}"/>
    <hyperlink ref="S1067" r:id="rId1576" xr:uid="{00000000-0004-0000-0200-000027060000}"/>
    <hyperlink ref="F1068" r:id="rId1577" xr:uid="{00000000-0004-0000-0200-000028060000}"/>
    <hyperlink ref="S1068" r:id="rId1578" xr:uid="{00000000-0004-0000-0200-000029060000}"/>
    <hyperlink ref="F1070" r:id="rId1579" xr:uid="{00000000-0004-0000-0200-00002A060000}"/>
    <hyperlink ref="G1070" r:id="rId1580" xr:uid="{00000000-0004-0000-0200-00002B060000}"/>
    <hyperlink ref="F1071" r:id="rId1581" xr:uid="{00000000-0004-0000-0200-00002C060000}"/>
    <hyperlink ref="G1071" r:id="rId1582" xr:uid="{00000000-0004-0000-0200-00002D060000}"/>
    <hyperlink ref="F1072" r:id="rId1583" xr:uid="{00000000-0004-0000-0200-00002E060000}"/>
    <hyperlink ref="G1072" r:id="rId1584" xr:uid="{00000000-0004-0000-0200-00002F060000}"/>
    <hyperlink ref="F1073" r:id="rId1585" xr:uid="{00000000-0004-0000-0200-000030060000}"/>
    <hyperlink ref="S1073" r:id="rId1586" xr:uid="{00000000-0004-0000-0200-000031060000}"/>
    <hyperlink ref="F1074" r:id="rId1587" xr:uid="{00000000-0004-0000-0200-000032060000}"/>
    <hyperlink ref="S1074" r:id="rId1588" xr:uid="{00000000-0004-0000-0200-000033060000}"/>
    <hyperlink ref="F1075" r:id="rId1589" xr:uid="{00000000-0004-0000-0200-000034060000}"/>
    <hyperlink ref="F1076" r:id="rId1590" xr:uid="{00000000-0004-0000-0200-000035060000}"/>
    <hyperlink ref="G1076" r:id="rId1591" xr:uid="{00000000-0004-0000-0200-000036060000}"/>
    <hyperlink ref="F1078" r:id="rId1592" location=".W_dafcvDRNI.twitter" xr:uid="{00000000-0004-0000-0200-000037060000}"/>
    <hyperlink ref="S1078" r:id="rId1593" xr:uid="{00000000-0004-0000-0200-000038060000}"/>
    <hyperlink ref="F1079" r:id="rId1594" xr:uid="{00000000-0004-0000-0200-000039060000}"/>
    <hyperlink ref="G1079" r:id="rId1595" xr:uid="{00000000-0004-0000-0200-00003A060000}"/>
    <hyperlink ref="S1079" r:id="rId1596" xr:uid="{00000000-0004-0000-0200-00003B060000}"/>
    <hyperlink ref="F1080" r:id="rId1597" xr:uid="{00000000-0004-0000-0200-00003C060000}"/>
    <hyperlink ref="S1081" r:id="rId1598" xr:uid="{00000000-0004-0000-0200-00003D060000}"/>
    <hyperlink ref="G1082" r:id="rId1599" xr:uid="{00000000-0004-0000-0200-00003E060000}"/>
    <hyperlink ref="S1082" r:id="rId1600" xr:uid="{00000000-0004-0000-0200-00003F060000}"/>
    <hyperlink ref="F1083" r:id="rId1601" xr:uid="{00000000-0004-0000-0200-000040060000}"/>
    <hyperlink ref="S1083" r:id="rId1602" xr:uid="{00000000-0004-0000-0200-000041060000}"/>
    <hyperlink ref="F1084" r:id="rId1603" xr:uid="{00000000-0004-0000-0200-000042060000}"/>
    <hyperlink ref="F1085" r:id="rId1604" xr:uid="{00000000-0004-0000-0200-000043060000}"/>
    <hyperlink ref="C1086" r:id="rId1605" xr:uid="{00000000-0004-0000-0200-000044060000}"/>
    <hyperlink ref="G1086" r:id="rId1606" xr:uid="{00000000-0004-0000-0200-000045060000}"/>
    <hyperlink ref="S1086" r:id="rId1607" xr:uid="{00000000-0004-0000-0200-000046060000}"/>
    <hyperlink ref="F1087" r:id="rId1608" xr:uid="{00000000-0004-0000-0200-000047060000}"/>
    <hyperlink ref="G1087" r:id="rId1609" xr:uid="{00000000-0004-0000-0200-000048060000}"/>
    <hyperlink ref="S1087" r:id="rId1610" xr:uid="{00000000-0004-0000-0200-000049060000}"/>
    <hyperlink ref="F1088" r:id="rId1611" xr:uid="{00000000-0004-0000-0200-00004A060000}"/>
    <hyperlink ref="G1088" r:id="rId1612" xr:uid="{00000000-0004-0000-0200-00004B060000}"/>
    <hyperlink ref="S1088" r:id="rId1613" xr:uid="{00000000-0004-0000-0200-00004C060000}"/>
    <hyperlink ref="F1089" r:id="rId1614" xr:uid="{00000000-0004-0000-0200-00004D060000}"/>
    <hyperlink ref="F1090" r:id="rId1615" location="ns_campaign=rrss-inducido&amp;ns_mchannel=abc-es&amp;ns_source=tw&amp;ns_linkname=noticia-foto&amp;ns_fee=0" xr:uid="{00000000-0004-0000-0200-00004E060000}"/>
    <hyperlink ref="F1091" r:id="rId1616" xr:uid="{00000000-0004-0000-0200-00004F060000}"/>
    <hyperlink ref="F1092" r:id="rId1617" xr:uid="{00000000-0004-0000-0200-000050060000}"/>
    <hyperlink ref="S1092" r:id="rId1618" xr:uid="{00000000-0004-0000-0200-000051060000}"/>
    <hyperlink ref="F1093" r:id="rId1619" xr:uid="{00000000-0004-0000-0200-000052060000}"/>
    <hyperlink ref="S1093" r:id="rId1620" xr:uid="{00000000-0004-0000-0200-000053060000}"/>
    <hyperlink ref="G1094" r:id="rId1621" xr:uid="{00000000-0004-0000-0200-000054060000}"/>
    <hyperlink ref="F1095" r:id="rId1622" xr:uid="{00000000-0004-0000-0200-000055060000}"/>
    <hyperlink ref="S1095" r:id="rId1623" xr:uid="{00000000-0004-0000-0200-000056060000}"/>
    <hyperlink ref="F1096" r:id="rId1624" xr:uid="{00000000-0004-0000-0200-000057060000}"/>
    <hyperlink ref="S1096" r:id="rId1625" xr:uid="{00000000-0004-0000-0200-000058060000}"/>
    <hyperlink ref="F1097" r:id="rId1626" xr:uid="{00000000-0004-0000-0200-000059060000}"/>
    <hyperlink ref="F1098" r:id="rId1627" xr:uid="{00000000-0004-0000-0200-00005A060000}"/>
    <hyperlink ref="F1099" r:id="rId1628" xr:uid="{00000000-0004-0000-0200-00005B060000}"/>
    <hyperlink ref="S1099" r:id="rId1629" xr:uid="{00000000-0004-0000-0200-00005C060000}"/>
    <hyperlink ref="F1101" r:id="rId1630" location=".W_dUWCqCLs8.twitter" xr:uid="{00000000-0004-0000-0200-00005D060000}"/>
    <hyperlink ref="F1102" r:id="rId1631" xr:uid="{00000000-0004-0000-0200-00005E060000}"/>
    <hyperlink ref="S1102" r:id="rId1632" xr:uid="{00000000-0004-0000-0200-00005F060000}"/>
    <hyperlink ref="F1103" r:id="rId1633" xr:uid="{00000000-0004-0000-0200-000060060000}"/>
    <hyperlink ref="F1104" r:id="rId1634" xr:uid="{00000000-0004-0000-0200-000061060000}"/>
    <hyperlink ref="G1105" r:id="rId1635" xr:uid="{00000000-0004-0000-0200-000062060000}"/>
    <hyperlink ref="S1105" r:id="rId1636" xr:uid="{00000000-0004-0000-0200-000063060000}"/>
    <hyperlink ref="F1106" r:id="rId1637" xr:uid="{00000000-0004-0000-0200-000064060000}"/>
    <hyperlink ref="S1106" r:id="rId1638" xr:uid="{00000000-0004-0000-0200-000065060000}"/>
    <hyperlink ref="F1107" r:id="rId1639" xr:uid="{00000000-0004-0000-0200-000066060000}"/>
    <hyperlink ref="S1107" r:id="rId1640" xr:uid="{00000000-0004-0000-0200-000067060000}"/>
    <hyperlink ref="F1108" r:id="rId1641" xr:uid="{00000000-0004-0000-0200-000068060000}"/>
    <hyperlink ref="G1109" r:id="rId1642" xr:uid="{00000000-0004-0000-0200-000069060000}"/>
    <hyperlink ref="S1109" r:id="rId1643" xr:uid="{00000000-0004-0000-0200-00006A060000}"/>
    <hyperlink ref="F1110" r:id="rId1644" xr:uid="{00000000-0004-0000-0200-00006B060000}"/>
    <hyperlink ref="G1110" r:id="rId1645" xr:uid="{00000000-0004-0000-0200-00006C060000}"/>
    <hyperlink ref="S1110" r:id="rId1646" xr:uid="{00000000-0004-0000-0200-00006D060000}"/>
    <hyperlink ref="F1112" r:id="rId1647" xr:uid="{00000000-0004-0000-0200-00006E060000}"/>
    <hyperlink ref="G1112" r:id="rId1648" xr:uid="{00000000-0004-0000-0200-00006F060000}"/>
    <hyperlink ref="S1112" r:id="rId1649" xr:uid="{00000000-0004-0000-0200-000070060000}"/>
    <hyperlink ref="F1113" r:id="rId1650" xr:uid="{00000000-0004-0000-0200-000071060000}"/>
    <hyperlink ref="S1113" r:id="rId1651" xr:uid="{00000000-0004-0000-0200-000072060000}"/>
    <hyperlink ref="F1114" r:id="rId1652" xr:uid="{00000000-0004-0000-0200-000073060000}"/>
    <hyperlink ref="F1115" r:id="rId1653" xr:uid="{00000000-0004-0000-0200-000074060000}"/>
    <hyperlink ref="G1115" r:id="rId1654" xr:uid="{00000000-0004-0000-0200-000075060000}"/>
    <hyperlink ref="S1115" r:id="rId1655" xr:uid="{00000000-0004-0000-0200-000076060000}"/>
    <hyperlink ref="F1116" r:id="rId1656" xr:uid="{00000000-0004-0000-0200-000077060000}"/>
    <hyperlink ref="S1116" r:id="rId1657" xr:uid="{00000000-0004-0000-0200-000078060000}"/>
    <hyperlink ref="F1117" r:id="rId1658" xr:uid="{00000000-0004-0000-0200-000079060000}"/>
    <hyperlink ref="F1118" r:id="rId1659" xr:uid="{00000000-0004-0000-0200-00007A060000}"/>
    <hyperlink ref="F1119" r:id="rId1660" xr:uid="{00000000-0004-0000-0200-00007B060000}"/>
    <hyperlink ref="F1120" r:id="rId1661" xr:uid="{00000000-0004-0000-0200-00007C060000}"/>
    <hyperlink ref="G1120" r:id="rId1662" xr:uid="{00000000-0004-0000-0200-00007D060000}"/>
    <hyperlink ref="S1120" r:id="rId1663" xr:uid="{00000000-0004-0000-0200-00007E060000}"/>
    <hyperlink ref="F1121" r:id="rId1664" xr:uid="{00000000-0004-0000-0200-00007F060000}"/>
    <hyperlink ref="S1121" r:id="rId1665" xr:uid="{00000000-0004-0000-0200-000080060000}"/>
    <hyperlink ref="F1122" r:id="rId1666" xr:uid="{00000000-0004-0000-0200-000081060000}"/>
    <hyperlink ref="G1122" r:id="rId1667" xr:uid="{00000000-0004-0000-0200-000082060000}"/>
    <hyperlink ref="S1122" r:id="rId1668" xr:uid="{00000000-0004-0000-0200-000083060000}"/>
    <hyperlink ref="F1123" r:id="rId1669" xr:uid="{00000000-0004-0000-0200-000084060000}"/>
    <hyperlink ref="S1123" r:id="rId1670" xr:uid="{00000000-0004-0000-0200-000085060000}"/>
    <hyperlink ref="F1124" r:id="rId1671" xr:uid="{00000000-0004-0000-0200-000086060000}"/>
    <hyperlink ref="S1124" r:id="rId1672" xr:uid="{00000000-0004-0000-0200-000087060000}"/>
    <hyperlink ref="F1125" r:id="rId1673" xr:uid="{00000000-0004-0000-0200-000088060000}"/>
    <hyperlink ref="S1125" r:id="rId1674" xr:uid="{00000000-0004-0000-0200-000089060000}"/>
    <hyperlink ref="F1126" r:id="rId1675" xr:uid="{00000000-0004-0000-0200-00008A060000}"/>
    <hyperlink ref="F1128" r:id="rId1676" xr:uid="{00000000-0004-0000-0200-00008B060000}"/>
    <hyperlink ref="F1129" r:id="rId1677" xr:uid="{00000000-0004-0000-0200-00008C060000}"/>
    <hyperlink ref="G1129" r:id="rId1678" xr:uid="{00000000-0004-0000-0200-00008D060000}"/>
    <hyperlink ref="S1129" r:id="rId1679" xr:uid="{00000000-0004-0000-0200-00008E060000}"/>
    <hyperlink ref="F1130" r:id="rId1680" xr:uid="{00000000-0004-0000-0200-00008F060000}"/>
    <hyperlink ref="G1130" r:id="rId1681" xr:uid="{00000000-0004-0000-0200-000090060000}"/>
    <hyperlink ref="S1130" r:id="rId1682" xr:uid="{00000000-0004-0000-0200-000091060000}"/>
    <hyperlink ref="F1131" r:id="rId1683" xr:uid="{00000000-0004-0000-0200-000092060000}"/>
    <hyperlink ref="G1131" r:id="rId1684" xr:uid="{00000000-0004-0000-0200-000093060000}"/>
    <hyperlink ref="S1131" r:id="rId1685" xr:uid="{00000000-0004-0000-0200-000094060000}"/>
    <hyperlink ref="F1132" r:id="rId1686" xr:uid="{00000000-0004-0000-0200-000095060000}"/>
    <hyperlink ref="F1133" r:id="rId1687" xr:uid="{00000000-0004-0000-0200-000096060000}"/>
    <hyperlink ref="S1133" r:id="rId1688" xr:uid="{00000000-0004-0000-0200-000097060000}"/>
    <hyperlink ref="F1134" r:id="rId1689" xr:uid="{00000000-0004-0000-0200-000098060000}"/>
    <hyperlink ref="S1134" r:id="rId1690" xr:uid="{00000000-0004-0000-0200-000099060000}"/>
    <hyperlink ref="F1135" r:id="rId1691" xr:uid="{00000000-0004-0000-0200-00009A060000}"/>
    <hyperlink ref="F1136" r:id="rId1692" xr:uid="{00000000-0004-0000-0200-00009B060000}"/>
    <hyperlink ref="F1138" r:id="rId1693" xr:uid="{00000000-0004-0000-0200-00009C060000}"/>
    <hyperlink ref="F1139" r:id="rId1694" xr:uid="{00000000-0004-0000-0200-00009D060000}"/>
    <hyperlink ref="G1139" r:id="rId1695" xr:uid="{00000000-0004-0000-0200-00009E060000}"/>
    <hyperlink ref="S1139" r:id="rId1696" xr:uid="{00000000-0004-0000-0200-00009F060000}"/>
    <hyperlink ref="S1140" r:id="rId1697" xr:uid="{00000000-0004-0000-0200-0000A0060000}"/>
    <hyperlink ref="F1141" r:id="rId1698" xr:uid="{00000000-0004-0000-0200-0000A1060000}"/>
    <hyperlink ref="G1141" r:id="rId1699" xr:uid="{00000000-0004-0000-0200-0000A2060000}"/>
    <hyperlink ref="S1141" r:id="rId1700" xr:uid="{00000000-0004-0000-0200-0000A3060000}"/>
    <hyperlink ref="S1142" r:id="rId1701" xr:uid="{00000000-0004-0000-0200-0000A4060000}"/>
    <hyperlink ref="F1144" r:id="rId1702" xr:uid="{00000000-0004-0000-0200-0000A5060000}"/>
    <hyperlink ref="G1144" r:id="rId1703" xr:uid="{00000000-0004-0000-0200-0000A6060000}"/>
    <hyperlink ref="S1144" r:id="rId1704" xr:uid="{00000000-0004-0000-0200-0000A7060000}"/>
    <hyperlink ref="F1145" r:id="rId1705" xr:uid="{00000000-0004-0000-0200-0000A8060000}"/>
    <hyperlink ref="G1145" r:id="rId1706" xr:uid="{00000000-0004-0000-0200-0000A9060000}"/>
    <hyperlink ref="F1146" r:id="rId1707" xr:uid="{00000000-0004-0000-0200-0000AA060000}"/>
    <hyperlink ref="S1146" r:id="rId1708" xr:uid="{00000000-0004-0000-0200-0000AB060000}"/>
    <hyperlink ref="F1147" r:id="rId1709" xr:uid="{00000000-0004-0000-0200-0000AC060000}"/>
    <hyperlink ref="S1147" r:id="rId1710" xr:uid="{00000000-0004-0000-0200-0000AD060000}"/>
    <hyperlink ref="F1148" r:id="rId1711" location="referrer=https%3A%2F%2Fwww.google.com&amp;amp_tf=De%20%251%24s&amp;ampshare=https%3A%2F%2Fokdiario.com%2Fespana%2F2018%2F11%2F22%2Fpedro-sanchez-llega-habana-reunirse-dictador-diaz-canel-3382248" xr:uid="{00000000-0004-0000-0200-0000AE060000}"/>
    <hyperlink ref="F1149" r:id="rId1712" xr:uid="{00000000-0004-0000-0200-0000AF060000}"/>
    <hyperlink ref="S1149" r:id="rId1713" xr:uid="{00000000-0004-0000-0200-0000B0060000}"/>
    <hyperlink ref="F1150" r:id="rId1714" xr:uid="{00000000-0004-0000-0200-0000B1060000}"/>
    <hyperlink ref="F1151" r:id="rId1715" xr:uid="{00000000-0004-0000-0200-0000B2060000}"/>
    <hyperlink ref="S1151" r:id="rId1716" xr:uid="{00000000-0004-0000-0200-0000B3060000}"/>
    <hyperlink ref="F1153" r:id="rId1717" xr:uid="{00000000-0004-0000-0200-0000B4060000}"/>
    <hyperlink ref="S1153" r:id="rId1718" xr:uid="{00000000-0004-0000-0200-0000B5060000}"/>
    <hyperlink ref="F1154" r:id="rId1719" xr:uid="{00000000-0004-0000-0200-0000B6060000}"/>
    <hyperlink ref="S1154" r:id="rId1720" xr:uid="{00000000-0004-0000-0200-0000B7060000}"/>
    <hyperlink ref="F1155" r:id="rId1721" xr:uid="{00000000-0004-0000-0200-0000B8060000}"/>
    <hyperlink ref="S1155" r:id="rId1722" xr:uid="{00000000-0004-0000-0200-0000B9060000}"/>
    <hyperlink ref="F1156" r:id="rId1723" xr:uid="{00000000-0004-0000-0200-0000BA060000}"/>
    <hyperlink ref="F1157" r:id="rId1724" xr:uid="{00000000-0004-0000-0200-0000BB060000}"/>
    <hyperlink ref="S1157" r:id="rId1725" xr:uid="{00000000-0004-0000-0200-0000BC060000}"/>
    <hyperlink ref="F1158" r:id="rId1726" xr:uid="{00000000-0004-0000-0200-0000BD060000}"/>
    <hyperlink ref="F1159" r:id="rId1727" xr:uid="{00000000-0004-0000-0200-0000BE060000}"/>
    <hyperlink ref="G1159" r:id="rId1728" xr:uid="{00000000-0004-0000-0200-0000BF060000}"/>
    <hyperlink ref="F1160" r:id="rId1729" xr:uid="{00000000-0004-0000-0200-0000C0060000}"/>
    <hyperlink ref="S1160" r:id="rId1730" xr:uid="{00000000-0004-0000-0200-0000C1060000}"/>
    <hyperlink ref="F1161" r:id="rId1731" xr:uid="{00000000-0004-0000-0200-0000C2060000}"/>
    <hyperlink ref="G1161" r:id="rId1732" xr:uid="{00000000-0004-0000-0200-0000C3060000}"/>
    <hyperlink ref="F1162" r:id="rId1733" xr:uid="{00000000-0004-0000-0200-0000C4060000}"/>
    <hyperlink ref="F1163" r:id="rId1734" xr:uid="{00000000-0004-0000-0200-0000C5060000}"/>
    <hyperlink ref="G1163" r:id="rId1735" xr:uid="{00000000-0004-0000-0200-0000C6060000}"/>
    <hyperlink ref="S1163" r:id="rId1736" xr:uid="{00000000-0004-0000-0200-0000C7060000}"/>
    <hyperlink ref="F1164" r:id="rId1737" xr:uid="{00000000-0004-0000-0200-0000C8060000}"/>
    <hyperlink ref="S1164" r:id="rId1738" xr:uid="{00000000-0004-0000-0200-0000C9060000}"/>
    <hyperlink ref="F1165" r:id="rId1739" xr:uid="{00000000-0004-0000-0200-0000CA060000}"/>
    <hyperlink ref="G1165" r:id="rId1740" xr:uid="{00000000-0004-0000-0200-0000CB060000}"/>
    <hyperlink ref="S1165" r:id="rId1741" xr:uid="{00000000-0004-0000-0200-0000CC060000}"/>
    <hyperlink ref="F1166" r:id="rId1742" xr:uid="{00000000-0004-0000-0200-0000CD060000}"/>
    <hyperlink ref="S1166" r:id="rId1743" xr:uid="{00000000-0004-0000-0200-0000CE060000}"/>
    <hyperlink ref="F1167" r:id="rId1744" xr:uid="{00000000-0004-0000-0200-0000CF060000}"/>
    <hyperlink ref="C1168" r:id="rId1745" xr:uid="{00000000-0004-0000-0200-0000D0060000}"/>
    <hyperlink ref="F1168" r:id="rId1746" xr:uid="{00000000-0004-0000-0200-0000D1060000}"/>
    <hyperlink ref="S1168" r:id="rId1747" xr:uid="{00000000-0004-0000-0200-0000D2060000}"/>
    <hyperlink ref="G1169" r:id="rId1748" xr:uid="{00000000-0004-0000-0200-0000D3060000}"/>
    <hyperlink ref="S1169" r:id="rId1749" xr:uid="{00000000-0004-0000-0200-0000D4060000}"/>
    <hyperlink ref="F1170" r:id="rId1750" xr:uid="{00000000-0004-0000-0200-0000D5060000}"/>
    <hyperlink ref="F1171" r:id="rId1751" xr:uid="{00000000-0004-0000-0200-0000D6060000}"/>
    <hyperlink ref="G1171" r:id="rId1752" xr:uid="{00000000-0004-0000-0200-0000D7060000}"/>
    <hyperlink ref="S1171" r:id="rId1753" xr:uid="{00000000-0004-0000-0200-0000D8060000}"/>
    <hyperlink ref="F1172" r:id="rId1754" xr:uid="{00000000-0004-0000-0200-0000D9060000}"/>
    <hyperlink ref="G1172" r:id="rId1755" xr:uid="{00000000-0004-0000-0200-0000DA060000}"/>
    <hyperlink ref="S1172" r:id="rId1756" xr:uid="{00000000-0004-0000-0200-0000DB060000}"/>
    <hyperlink ref="S1173" r:id="rId1757" xr:uid="{00000000-0004-0000-0200-0000DC060000}"/>
    <hyperlink ref="F1174" r:id="rId1758" xr:uid="{00000000-0004-0000-0200-0000DD060000}"/>
    <hyperlink ref="G1175" r:id="rId1759" xr:uid="{00000000-0004-0000-0200-0000DE060000}"/>
    <hyperlink ref="S1175" r:id="rId1760" xr:uid="{00000000-0004-0000-0200-0000DF060000}"/>
    <hyperlink ref="F1176" r:id="rId1761" xr:uid="{00000000-0004-0000-0200-0000E0060000}"/>
    <hyperlink ref="F1177" r:id="rId1762" location=".W_dB-0RQJEg.twitter" xr:uid="{00000000-0004-0000-0200-0000E1060000}"/>
    <hyperlink ref="G1177" r:id="rId1763" xr:uid="{00000000-0004-0000-0200-0000E2060000}"/>
    <hyperlink ref="S1177" r:id="rId1764" xr:uid="{00000000-0004-0000-0200-0000E3060000}"/>
    <hyperlink ref="F1178" r:id="rId1765" xr:uid="{00000000-0004-0000-0200-0000E4060000}"/>
    <hyperlink ref="G1178" r:id="rId1766" xr:uid="{00000000-0004-0000-0200-0000E5060000}"/>
    <hyperlink ref="S1178" r:id="rId1767" xr:uid="{00000000-0004-0000-0200-0000E6060000}"/>
    <hyperlink ref="F1179" r:id="rId1768" xr:uid="{00000000-0004-0000-0200-0000E7060000}"/>
    <hyperlink ref="F1180" r:id="rId1769" xr:uid="{00000000-0004-0000-0200-0000E8060000}"/>
    <hyperlink ref="F1181" r:id="rId1770" xr:uid="{00000000-0004-0000-0200-0000E9060000}"/>
    <hyperlink ref="G1181" r:id="rId1771" xr:uid="{00000000-0004-0000-0200-0000EA060000}"/>
    <hyperlink ref="S1181" r:id="rId1772" xr:uid="{00000000-0004-0000-0200-0000EB060000}"/>
    <hyperlink ref="F1182" r:id="rId1773" xr:uid="{00000000-0004-0000-0200-0000EC060000}"/>
    <hyperlink ref="S1182" r:id="rId1774" xr:uid="{00000000-0004-0000-0200-0000ED060000}"/>
    <hyperlink ref="C1183" r:id="rId1775" xr:uid="{00000000-0004-0000-0200-0000EE060000}"/>
    <hyperlink ref="F1183" r:id="rId1776" xr:uid="{00000000-0004-0000-0200-0000EF060000}"/>
    <hyperlink ref="G1183" r:id="rId1777" xr:uid="{00000000-0004-0000-0200-0000F0060000}"/>
    <hyperlink ref="S1183" r:id="rId1778" xr:uid="{00000000-0004-0000-0200-0000F1060000}"/>
    <hyperlink ref="F1184" r:id="rId1779" xr:uid="{00000000-0004-0000-0200-0000F2060000}"/>
    <hyperlink ref="G1186" r:id="rId1780" xr:uid="{00000000-0004-0000-0200-0000F3060000}"/>
    <hyperlink ref="S1186" r:id="rId1781" xr:uid="{00000000-0004-0000-0200-0000F4060000}"/>
    <hyperlink ref="F1187" r:id="rId1782" xr:uid="{00000000-0004-0000-0200-0000F5060000}"/>
    <hyperlink ref="S1187" r:id="rId1783" xr:uid="{00000000-0004-0000-0200-0000F6060000}"/>
    <hyperlink ref="F1188" r:id="rId1784" xr:uid="{00000000-0004-0000-0200-0000F7060000}"/>
    <hyperlink ref="F1189" r:id="rId1785" xr:uid="{00000000-0004-0000-0200-0000F8060000}"/>
    <hyperlink ref="S1189" r:id="rId1786" xr:uid="{00000000-0004-0000-0200-0000F9060000}"/>
    <hyperlink ref="F1190" r:id="rId1787" xr:uid="{00000000-0004-0000-0200-0000FA060000}"/>
    <hyperlink ref="S1190" r:id="rId1788" xr:uid="{00000000-0004-0000-0200-0000FB060000}"/>
    <hyperlink ref="F1191" r:id="rId1789" xr:uid="{00000000-0004-0000-0200-0000FC060000}"/>
    <hyperlink ref="G1191" r:id="rId1790" xr:uid="{00000000-0004-0000-0200-0000FD060000}"/>
    <hyperlink ref="F1192" r:id="rId1791" xr:uid="{00000000-0004-0000-0200-0000FE060000}"/>
    <hyperlink ref="S1192" r:id="rId1792" xr:uid="{00000000-0004-0000-0200-0000FF060000}"/>
    <hyperlink ref="F1193" r:id="rId1793" xr:uid="{00000000-0004-0000-0200-000000070000}"/>
    <hyperlink ref="F1194" r:id="rId1794" xr:uid="{00000000-0004-0000-0200-000001070000}"/>
    <hyperlink ref="F1195" r:id="rId1795" xr:uid="{00000000-0004-0000-0200-000002070000}"/>
    <hyperlink ref="F1196" r:id="rId1796" xr:uid="{00000000-0004-0000-0200-000003070000}"/>
    <hyperlink ref="G1197" r:id="rId1797" xr:uid="{00000000-0004-0000-0200-000004070000}"/>
    <hyperlink ref="F1198" r:id="rId1798" xr:uid="{00000000-0004-0000-0200-000005070000}"/>
    <hyperlink ref="S1198" r:id="rId1799" xr:uid="{00000000-0004-0000-0200-000006070000}"/>
    <hyperlink ref="F1199" r:id="rId1800" xr:uid="{00000000-0004-0000-0200-000007070000}"/>
    <hyperlink ref="S1199" r:id="rId1801" xr:uid="{00000000-0004-0000-0200-000008070000}"/>
    <hyperlink ref="F1200" r:id="rId1802" location=".W_c-F-P6eqk.twitter" xr:uid="{00000000-0004-0000-0200-000009070000}"/>
    <hyperlink ref="S1201" r:id="rId1803" xr:uid="{00000000-0004-0000-0200-00000A070000}"/>
    <hyperlink ref="F1202" r:id="rId1804" xr:uid="{00000000-0004-0000-0200-00000B070000}"/>
    <hyperlink ref="G1202" r:id="rId1805" xr:uid="{00000000-0004-0000-0200-00000C070000}"/>
    <hyperlink ref="S1202" r:id="rId1806" xr:uid="{00000000-0004-0000-0200-00000D070000}"/>
    <hyperlink ref="F1203" r:id="rId1807" xr:uid="{00000000-0004-0000-0200-00000E070000}"/>
    <hyperlink ref="F1205" r:id="rId1808" xr:uid="{00000000-0004-0000-0200-00000F070000}"/>
    <hyperlink ref="G1205" r:id="rId1809" xr:uid="{00000000-0004-0000-0200-000010070000}"/>
    <hyperlink ref="F1208" r:id="rId1810" xr:uid="{00000000-0004-0000-0200-000011070000}"/>
    <hyperlink ref="S1208" r:id="rId1811" xr:uid="{00000000-0004-0000-0200-000012070000}"/>
    <hyperlink ref="F1209" r:id="rId1812" xr:uid="{00000000-0004-0000-0200-000013070000}"/>
    <hyperlink ref="S1209" r:id="rId1813" xr:uid="{00000000-0004-0000-0200-000014070000}"/>
    <hyperlink ref="F1210" r:id="rId1814" xr:uid="{00000000-0004-0000-0200-000015070000}"/>
    <hyperlink ref="R1210" r:id="rId1815" xr:uid="{00000000-0004-0000-0200-000016070000}"/>
    <hyperlink ref="S1210" r:id="rId1816" xr:uid="{00000000-0004-0000-0200-000017070000}"/>
    <hyperlink ref="F1211" r:id="rId1817" xr:uid="{00000000-0004-0000-0200-000018070000}"/>
    <hyperlink ref="S1211" r:id="rId1818" xr:uid="{00000000-0004-0000-0200-000019070000}"/>
    <hyperlink ref="S1212" r:id="rId1819" xr:uid="{00000000-0004-0000-0200-00001A070000}"/>
    <hyperlink ref="F1213" r:id="rId1820" xr:uid="{00000000-0004-0000-0200-00001B070000}"/>
    <hyperlink ref="F1214" r:id="rId1821" xr:uid="{00000000-0004-0000-0200-00001C070000}"/>
    <hyperlink ref="C1215" r:id="rId1822" xr:uid="{00000000-0004-0000-0200-00001D070000}"/>
    <hyperlink ref="F1215" r:id="rId1823" xr:uid="{00000000-0004-0000-0200-00001E070000}"/>
    <hyperlink ref="S1215" r:id="rId1824" xr:uid="{00000000-0004-0000-0200-00001F070000}"/>
    <hyperlink ref="F1216" r:id="rId1825" xr:uid="{00000000-0004-0000-0200-000020070000}"/>
    <hyperlink ref="G1216" r:id="rId1826" xr:uid="{00000000-0004-0000-0200-000021070000}"/>
    <hyperlink ref="S1216" r:id="rId1827" xr:uid="{00000000-0004-0000-0200-000022070000}"/>
    <hyperlink ref="F1217" r:id="rId1828" xr:uid="{00000000-0004-0000-0200-000023070000}"/>
    <hyperlink ref="G1217" r:id="rId1829" xr:uid="{00000000-0004-0000-0200-000024070000}"/>
    <hyperlink ref="S1217" r:id="rId1830" xr:uid="{00000000-0004-0000-0200-000025070000}"/>
    <hyperlink ref="G1218" r:id="rId1831" xr:uid="{00000000-0004-0000-0200-000026070000}"/>
    <hyperlink ref="F1219" r:id="rId1832" xr:uid="{00000000-0004-0000-0200-000027070000}"/>
    <hyperlink ref="F1220" r:id="rId1833" xr:uid="{00000000-0004-0000-0200-000028070000}"/>
    <hyperlink ref="F1221" r:id="rId1834" xr:uid="{00000000-0004-0000-0200-000029070000}"/>
    <hyperlink ref="F1222" r:id="rId1835" xr:uid="{00000000-0004-0000-0200-00002A070000}"/>
    <hyperlink ref="F1225" r:id="rId1836" location=".W_c6bAIF5bw.twitter" xr:uid="{00000000-0004-0000-0200-00002B070000}"/>
    <hyperlink ref="F1226" r:id="rId1837" xr:uid="{00000000-0004-0000-0200-00002C070000}"/>
    <hyperlink ref="G1226" r:id="rId1838" xr:uid="{00000000-0004-0000-0200-00002D070000}"/>
    <hyperlink ref="F1227" r:id="rId1839" xr:uid="{00000000-0004-0000-0200-00002E070000}"/>
    <hyperlink ref="G1227" r:id="rId1840" xr:uid="{00000000-0004-0000-0200-00002F070000}"/>
    <hyperlink ref="S1227" r:id="rId1841" xr:uid="{00000000-0004-0000-0200-000030070000}"/>
    <hyperlink ref="F1229" r:id="rId1842" xr:uid="{00000000-0004-0000-0200-000031070000}"/>
    <hyperlink ref="G1229" r:id="rId1843" xr:uid="{00000000-0004-0000-0200-000032070000}"/>
    <hyperlink ref="S1229" r:id="rId1844" xr:uid="{00000000-0004-0000-0200-000033070000}"/>
    <hyperlink ref="C1230" r:id="rId1845" xr:uid="{00000000-0004-0000-0200-000034070000}"/>
    <hyperlink ref="F1230" r:id="rId1846" xr:uid="{00000000-0004-0000-0200-000035070000}"/>
    <hyperlink ref="S1230" r:id="rId1847" xr:uid="{00000000-0004-0000-0200-000036070000}"/>
    <hyperlink ref="F1231" r:id="rId1848" xr:uid="{00000000-0004-0000-0200-000037070000}"/>
    <hyperlink ref="S1231" r:id="rId1849" xr:uid="{00000000-0004-0000-0200-000038070000}"/>
    <hyperlink ref="F1233" r:id="rId1850" xr:uid="{00000000-0004-0000-0200-000039070000}"/>
    <hyperlink ref="G1233" r:id="rId1851" xr:uid="{00000000-0004-0000-0200-00003A070000}"/>
    <hyperlink ref="S1233" r:id="rId1852" xr:uid="{00000000-0004-0000-0200-00003B070000}"/>
    <hyperlink ref="F1234" r:id="rId1853" xr:uid="{00000000-0004-0000-0200-00003C070000}"/>
    <hyperlink ref="S1234" r:id="rId1854" xr:uid="{00000000-0004-0000-0200-00003D070000}"/>
    <hyperlink ref="F1235" r:id="rId1855" xr:uid="{00000000-0004-0000-0200-00003E070000}"/>
    <hyperlink ref="S1235" r:id="rId1856" xr:uid="{00000000-0004-0000-0200-00003F070000}"/>
    <hyperlink ref="F1236" r:id="rId1857" xr:uid="{00000000-0004-0000-0200-000040070000}"/>
    <hyperlink ref="S1236" r:id="rId1858" xr:uid="{00000000-0004-0000-0200-000041070000}"/>
    <hyperlink ref="F1237" r:id="rId1859" xr:uid="{00000000-0004-0000-0200-000042070000}"/>
    <hyperlink ref="G1237" r:id="rId1860" xr:uid="{00000000-0004-0000-0200-000043070000}"/>
    <hyperlink ref="F1238" r:id="rId1861" xr:uid="{00000000-0004-0000-0200-000044070000}"/>
    <hyperlink ref="S1238" r:id="rId1862" xr:uid="{00000000-0004-0000-0200-000045070000}"/>
    <hyperlink ref="G1239" r:id="rId1863" xr:uid="{00000000-0004-0000-0200-000046070000}"/>
    <hyperlink ref="F1240" r:id="rId1864" xr:uid="{00000000-0004-0000-0200-000047070000}"/>
    <hyperlink ref="F1241" r:id="rId1865" xr:uid="{00000000-0004-0000-0200-000048070000}"/>
    <hyperlink ref="S1241" r:id="rId1866" xr:uid="{00000000-0004-0000-0200-000049070000}"/>
    <hyperlink ref="G1242" r:id="rId1867" xr:uid="{00000000-0004-0000-0200-00004A070000}"/>
    <hyperlink ref="F1243" r:id="rId1868" xr:uid="{00000000-0004-0000-0200-00004B070000}"/>
    <hyperlink ref="F1244" r:id="rId1869" xr:uid="{00000000-0004-0000-0200-00004C070000}"/>
    <hyperlink ref="S1244" r:id="rId1870" xr:uid="{00000000-0004-0000-0200-00004D070000}"/>
    <hyperlink ref="G1245" r:id="rId1871" xr:uid="{00000000-0004-0000-0200-00004E070000}"/>
    <hyperlink ref="F1246" r:id="rId1872" xr:uid="{00000000-0004-0000-0200-00004F070000}"/>
    <hyperlink ref="G1246" r:id="rId1873" xr:uid="{00000000-0004-0000-0200-000050070000}"/>
    <hyperlink ref="F1247" r:id="rId1874" xr:uid="{00000000-0004-0000-0200-000051070000}"/>
    <hyperlink ref="G1247" r:id="rId1875" xr:uid="{00000000-0004-0000-0200-000052070000}"/>
    <hyperlink ref="S1247" r:id="rId1876" xr:uid="{00000000-0004-0000-0200-000053070000}"/>
    <hyperlink ref="F1248" r:id="rId1877" xr:uid="{00000000-0004-0000-0200-000054070000}"/>
    <hyperlink ref="G1248" r:id="rId1878" xr:uid="{00000000-0004-0000-0200-000055070000}"/>
    <hyperlink ref="S1248" r:id="rId1879" xr:uid="{00000000-0004-0000-0200-000056070000}"/>
    <hyperlink ref="F1249" r:id="rId1880" xr:uid="{00000000-0004-0000-0200-000057070000}"/>
    <hyperlink ref="G1249" r:id="rId1881" xr:uid="{00000000-0004-0000-0200-000058070000}"/>
    <hyperlink ref="S1249" r:id="rId1882" xr:uid="{00000000-0004-0000-0200-000059070000}"/>
    <hyperlink ref="F1250" r:id="rId1883" xr:uid="{00000000-0004-0000-0200-00005A070000}"/>
    <hyperlink ref="F1251" r:id="rId1884" xr:uid="{00000000-0004-0000-0200-00005B070000}"/>
    <hyperlink ref="F1252" r:id="rId1885" xr:uid="{00000000-0004-0000-0200-00005C070000}"/>
    <hyperlink ref="S1252" r:id="rId1886" xr:uid="{00000000-0004-0000-0200-00005D070000}"/>
    <hyperlink ref="F1255" r:id="rId1887" location="ns_campaign=rrss-inducido&amp;ns_mchannel=abc-es&amp;ns_source=tw&amp;ns_linkname=noticia-foto&amp;ns_fee=0" xr:uid="{00000000-0004-0000-0200-00005E070000}"/>
    <hyperlink ref="F1256" r:id="rId1888" xr:uid="{00000000-0004-0000-0200-00005F070000}"/>
    <hyperlink ref="F1257" r:id="rId1889" xr:uid="{00000000-0004-0000-0200-000060070000}"/>
    <hyperlink ref="G1257" r:id="rId1890" xr:uid="{00000000-0004-0000-0200-000061070000}"/>
    <hyperlink ref="F1258" r:id="rId1891" xr:uid="{00000000-0004-0000-0200-000062070000}"/>
    <hyperlink ref="S1258" r:id="rId1892" xr:uid="{00000000-0004-0000-0200-000063070000}"/>
    <hyperlink ref="F1259" r:id="rId1893" xr:uid="{00000000-0004-0000-0200-000064070000}"/>
    <hyperlink ref="S1259" r:id="rId1894" xr:uid="{00000000-0004-0000-0200-000065070000}"/>
    <hyperlink ref="F1260" r:id="rId1895" xr:uid="{00000000-0004-0000-0200-000066070000}"/>
    <hyperlink ref="S1260" r:id="rId1896" xr:uid="{00000000-0004-0000-0200-000067070000}"/>
    <hyperlink ref="F1261" r:id="rId1897" xr:uid="{00000000-0004-0000-0200-000068070000}"/>
    <hyperlink ref="F1262" r:id="rId1898" xr:uid="{00000000-0004-0000-0200-000069070000}"/>
    <hyperlink ref="G1262" r:id="rId1899" xr:uid="{00000000-0004-0000-0200-00006A070000}"/>
    <hyperlink ref="F1263" r:id="rId1900" xr:uid="{00000000-0004-0000-0200-00006B070000}"/>
    <hyperlink ref="G1263" r:id="rId1901" xr:uid="{00000000-0004-0000-0200-00006C070000}"/>
    <hyperlink ref="S1263" r:id="rId1902" xr:uid="{00000000-0004-0000-0200-00006D070000}"/>
    <hyperlink ref="F1264" r:id="rId1903" xr:uid="{00000000-0004-0000-0200-00006E070000}"/>
    <hyperlink ref="F1265" r:id="rId1904" xr:uid="{00000000-0004-0000-0200-00006F070000}"/>
    <hyperlink ref="S1265" r:id="rId1905" xr:uid="{00000000-0004-0000-0200-000070070000}"/>
    <hyperlink ref="F1266" r:id="rId1906" location="Echobox=1542927257" xr:uid="{00000000-0004-0000-0200-000071070000}"/>
    <hyperlink ref="S1266" r:id="rId1907" xr:uid="{00000000-0004-0000-0200-000072070000}"/>
    <hyperlink ref="F1267" r:id="rId1908" xr:uid="{00000000-0004-0000-0200-000073070000}"/>
    <hyperlink ref="G1267" r:id="rId1909" xr:uid="{00000000-0004-0000-0200-000074070000}"/>
    <hyperlink ref="F1268" r:id="rId1910" xr:uid="{00000000-0004-0000-0200-000075070000}"/>
    <hyperlink ref="G1268" r:id="rId1911" xr:uid="{00000000-0004-0000-0200-000076070000}"/>
    <hyperlink ref="S1268" r:id="rId1912" xr:uid="{00000000-0004-0000-0200-000077070000}"/>
    <hyperlink ref="G1269" r:id="rId1913" xr:uid="{00000000-0004-0000-0200-000078070000}"/>
    <hyperlink ref="F1270" r:id="rId1914" xr:uid="{00000000-0004-0000-0200-000079070000}"/>
    <hyperlink ref="F1272" r:id="rId1915" xr:uid="{00000000-0004-0000-0200-00007A070000}"/>
    <hyperlink ref="S1272" r:id="rId1916" xr:uid="{00000000-0004-0000-0200-00007B070000}"/>
    <hyperlink ref="F1273" r:id="rId1917" xr:uid="{00000000-0004-0000-0200-00007C070000}"/>
    <hyperlink ref="F1274" r:id="rId1918" xr:uid="{00000000-0004-0000-0200-00007D070000}"/>
    <hyperlink ref="G1274" r:id="rId1919" xr:uid="{00000000-0004-0000-0200-00007E070000}"/>
    <hyperlink ref="S1274" r:id="rId1920" xr:uid="{00000000-0004-0000-0200-00007F070000}"/>
    <hyperlink ref="F1276" r:id="rId1921" xr:uid="{00000000-0004-0000-0200-000080070000}"/>
    <hyperlink ref="G1276" r:id="rId1922" xr:uid="{00000000-0004-0000-0200-000081070000}"/>
    <hyperlink ref="G1277" r:id="rId1923" xr:uid="{00000000-0004-0000-0200-000082070000}"/>
    <hyperlink ref="F1278" r:id="rId1924" xr:uid="{00000000-0004-0000-0200-000083070000}"/>
    <hyperlink ref="S1278" r:id="rId1925" xr:uid="{00000000-0004-0000-0200-000084070000}"/>
    <hyperlink ref="F1279" r:id="rId1926" xr:uid="{00000000-0004-0000-0200-000085070000}"/>
    <hyperlink ref="G1279" r:id="rId1927" xr:uid="{00000000-0004-0000-0200-000086070000}"/>
    <hyperlink ref="S1279" r:id="rId1928" xr:uid="{00000000-0004-0000-0200-000087070000}"/>
    <hyperlink ref="F1280" r:id="rId1929" xr:uid="{00000000-0004-0000-0200-000088070000}"/>
    <hyperlink ref="F1281" r:id="rId1930" xr:uid="{00000000-0004-0000-0200-000089070000}"/>
    <hyperlink ref="G1281" r:id="rId1931" xr:uid="{00000000-0004-0000-0200-00008A070000}"/>
    <hyperlink ref="S1281" r:id="rId1932" xr:uid="{00000000-0004-0000-0200-00008B070000}"/>
    <hyperlink ref="F1282" r:id="rId1933" xr:uid="{00000000-0004-0000-0200-00008C070000}"/>
    <hyperlink ref="G1282" r:id="rId1934" xr:uid="{00000000-0004-0000-0200-00008D070000}"/>
    <hyperlink ref="S1282" r:id="rId1935" xr:uid="{00000000-0004-0000-0200-00008E070000}"/>
    <hyperlink ref="F1285" r:id="rId1936" xr:uid="{00000000-0004-0000-0200-00008F070000}"/>
    <hyperlink ref="S1285" r:id="rId1937" xr:uid="{00000000-0004-0000-0200-000090070000}"/>
    <hyperlink ref="F1286" r:id="rId1938" xr:uid="{00000000-0004-0000-0200-000091070000}"/>
    <hyperlink ref="S1286" r:id="rId1939" xr:uid="{00000000-0004-0000-0200-000092070000}"/>
    <hyperlink ref="F1287" r:id="rId1940" location=".W_cxhoPkqAI.twitter" xr:uid="{00000000-0004-0000-0200-000093070000}"/>
    <hyperlink ref="F1288" r:id="rId1941" xr:uid="{00000000-0004-0000-0200-000094070000}"/>
    <hyperlink ref="F1289" r:id="rId1942" xr:uid="{00000000-0004-0000-0200-000095070000}"/>
    <hyperlink ref="G1289" r:id="rId1943" xr:uid="{00000000-0004-0000-0200-000096070000}"/>
    <hyperlink ref="F1290" r:id="rId1944" xr:uid="{00000000-0004-0000-0200-000097070000}"/>
    <hyperlink ref="S1290" r:id="rId1945" xr:uid="{00000000-0004-0000-0200-000098070000}"/>
    <hyperlink ref="F1292" r:id="rId1946" xr:uid="{00000000-0004-0000-0200-000099070000}"/>
    <hyperlink ref="S1292" r:id="rId1947" xr:uid="{00000000-0004-0000-0200-00009A070000}"/>
    <hyperlink ref="F1293" r:id="rId1948" xr:uid="{00000000-0004-0000-0200-00009B070000}"/>
    <hyperlink ref="F1296" r:id="rId1949" xr:uid="{00000000-0004-0000-0200-00009C070000}"/>
    <hyperlink ref="F1297" r:id="rId1950" xr:uid="{00000000-0004-0000-0200-00009D070000}"/>
    <hyperlink ref="F1298" r:id="rId1951" location="Echobox=1542926392" xr:uid="{00000000-0004-0000-0200-00009E070000}"/>
    <hyperlink ref="S1298" r:id="rId1952" xr:uid="{00000000-0004-0000-0200-00009F070000}"/>
    <hyperlink ref="F1299" r:id="rId1953" xr:uid="{00000000-0004-0000-0200-0000A0070000}"/>
    <hyperlink ref="G1299" r:id="rId1954" xr:uid="{00000000-0004-0000-0200-0000A1070000}"/>
    <hyperlink ref="S1299" r:id="rId1955" xr:uid="{00000000-0004-0000-0200-0000A2070000}"/>
    <hyperlink ref="F1300" r:id="rId1956" xr:uid="{00000000-0004-0000-0200-0000A3070000}"/>
    <hyperlink ref="S1300" r:id="rId1957" xr:uid="{00000000-0004-0000-0200-0000A4070000}"/>
    <hyperlink ref="F1302" r:id="rId1958" xr:uid="{00000000-0004-0000-0200-0000A5070000}"/>
    <hyperlink ref="S1302" r:id="rId1959" xr:uid="{00000000-0004-0000-0200-0000A6070000}"/>
    <hyperlink ref="F1303" r:id="rId1960" xr:uid="{00000000-0004-0000-0200-0000A7070000}"/>
    <hyperlink ref="S1303" r:id="rId1961" xr:uid="{00000000-0004-0000-0200-0000A8070000}"/>
    <hyperlink ref="F1304" r:id="rId1962" xr:uid="{00000000-0004-0000-0200-0000A9070000}"/>
    <hyperlink ref="F1305" r:id="rId1963" xr:uid="{00000000-0004-0000-0200-0000AA070000}"/>
    <hyperlink ref="F1306" r:id="rId1964" location=".W_cvNu2ZHsQ.twitter" xr:uid="{00000000-0004-0000-0200-0000AB070000}"/>
    <hyperlink ref="S1306" r:id="rId1965" xr:uid="{00000000-0004-0000-0200-0000AC070000}"/>
    <hyperlink ref="G1307" r:id="rId1966" xr:uid="{00000000-0004-0000-0200-0000AD070000}"/>
    <hyperlink ref="F1308" r:id="rId1967" xr:uid="{00000000-0004-0000-0200-0000AE070000}"/>
    <hyperlink ref="S1308" r:id="rId1968" xr:uid="{00000000-0004-0000-0200-0000AF070000}"/>
    <hyperlink ref="G1309" r:id="rId1969" xr:uid="{00000000-0004-0000-0200-0000B0070000}"/>
    <hyperlink ref="G1310" r:id="rId1970" xr:uid="{00000000-0004-0000-0200-0000B1070000}"/>
    <hyperlink ref="F1313" r:id="rId1971" xr:uid="{00000000-0004-0000-0200-0000B2070000}"/>
    <hyperlink ref="F1314" r:id="rId1972" xr:uid="{00000000-0004-0000-0200-0000B3070000}"/>
    <hyperlink ref="F1315" r:id="rId1973" xr:uid="{00000000-0004-0000-0200-0000B4070000}"/>
    <hyperlink ref="F1316" r:id="rId1974" xr:uid="{00000000-0004-0000-0200-0000B5070000}"/>
    <hyperlink ref="G1316" r:id="rId1975" xr:uid="{00000000-0004-0000-0200-0000B6070000}"/>
    <hyperlink ref="F1317" r:id="rId1976" xr:uid="{00000000-0004-0000-0200-0000B7070000}"/>
    <hyperlink ref="G1317" r:id="rId1977" xr:uid="{00000000-0004-0000-0200-0000B8070000}"/>
    <hyperlink ref="S1317" r:id="rId1978" xr:uid="{00000000-0004-0000-0200-0000B9070000}"/>
    <hyperlink ref="F1318" r:id="rId1979" xr:uid="{00000000-0004-0000-0200-0000BA070000}"/>
    <hyperlink ref="S1318" r:id="rId1980" xr:uid="{00000000-0004-0000-0200-0000BB070000}"/>
    <hyperlink ref="F1319" r:id="rId1981" xr:uid="{00000000-0004-0000-0200-0000BC070000}"/>
    <hyperlink ref="G1319" r:id="rId1982" xr:uid="{00000000-0004-0000-0200-0000BD070000}"/>
    <hyperlink ref="S1319" r:id="rId1983" xr:uid="{00000000-0004-0000-0200-0000BE070000}"/>
    <hyperlink ref="F1320" r:id="rId1984" xr:uid="{00000000-0004-0000-0200-0000BF070000}"/>
    <hyperlink ref="F1321" r:id="rId1985" xr:uid="{00000000-0004-0000-0200-0000C0070000}"/>
    <hyperlink ref="G1321" r:id="rId1986" xr:uid="{00000000-0004-0000-0200-0000C1070000}"/>
    <hyperlink ref="G1323" r:id="rId1987" xr:uid="{00000000-0004-0000-0200-0000C2070000}"/>
    <hyperlink ref="F1324" r:id="rId1988" xr:uid="{00000000-0004-0000-0200-0000C3070000}"/>
    <hyperlink ref="F1325" r:id="rId1989" xr:uid="{00000000-0004-0000-0200-0000C4070000}"/>
    <hyperlink ref="F1326" r:id="rId1990" xr:uid="{00000000-0004-0000-0200-0000C5070000}"/>
    <hyperlink ref="F1328" r:id="rId1991" xr:uid="{00000000-0004-0000-0200-0000C6070000}"/>
    <hyperlink ref="G1328" r:id="rId1992" xr:uid="{00000000-0004-0000-0200-0000C7070000}"/>
    <hyperlink ref="S1328" r:id="rId1993" xr:uid="{00000000-0004-0000-0200-0000C8070000}"/>
    <hyperlink ref="F1329" r:id="rId1994" xr:uid="{00000000-0004-0000-0200-0000C9070000}"/>
    <hyperlink ref="F1330" r:id="rId1995" xr:uid="{00000000-0004-0000-0200-0000CA070000}"/>
    <hyperlink ref="F1331" r:id="rId1996" xr:uid="{00000000-0004-0000-0200-0000CB070000}"/>
    <hyperlink ref="G1331" r:id="rId1997" xr:uid="{00000000-0004-0000-0200-0000CC070000}"/>
    <hyperlink ref="S1331" r:id="rId1998" xr:uid="{00000000-0004-0000-0200-0000CD070000}"/>
    <hyperlink ref="F1332" r:id="rId1999" xr:uid="{00000000-0004-0000-0200-0000CE070000}"/>
    <hyperlink ref="G1332" r:id="rId2000" xr:uid="{00000000-0004-0000-0200-0000CF070000}"/>
    <hyperlink ref="S1332" r:id="rId2001" xr:uid="{00000000-0004-0000-0200-0000D0070000}"/>
    <hyperlink ref="F1333" r:id="rId2002" xr:uid="{00000000-0004-0000-0200-0000D1070000}"/>
    <hyperlink ref="F1334" r:id="rId2003" xr:uid="{00000000-0004-0000-0200-0000D2070000}"/>
    <hyperlink ref="F1335" r:id="rId2004" xr:uid="{00000000-0004-0000-0200-0000D3070000}"/>
    <hyperlink ref="G1336" r:id="rId2005" xr:uid="{00000000-0004-0000-0200-0000D4070000}"/>
    <hyperlink ref="S1336" r:id="rId2006" xr:uid="{00000000-0004-0000-0200-0000D5070000}"/>
    <hyperlink ref="F1337" r:id="rId2007" xr:uid="{00000000-0004-0000-0200-0000D6070000}"/>
    <hyperlink ref="G1337" r:id="rId2008" xr:uid="{00000000-0004-0000-0200-0000D7070000}"/>
    <hyperlink ref="S1337" r:id="rId2009" xr:uid="{00000000-0004-0000-0200-0000D8070000}"/>
    <hyperlink ref="F1338" r:id="rId2010" xr:uid="{00000000-0004-0000-0200-0000D9070000}"/>
    <hyperlink ref="F1339" r:id="rId2011" xr:uid="{00000000-0004-0000-0200-0000DA070000}"/>
    <hyperlink ref="G1339" r:id="rId2012" xr:uid="{00000000-0004-0000-0200-0000DB070000}"/>
    <hyperlink ref="F1340" r:id="rId2013" xr:uid="{00000000-0004-0000-0200-0000DC070000}"/>
    <hyperlink ref="G1340" r:id="rId2014" xr:uid="{00000000-0004-0000-0200-0000DD070000}"/>
    <hyperlink ref="S1340" r:id="rId2015" xr:uid="{00000000-0004-0000-0200-0000DE070000}"/>
    <hyperlink ref="S1341" r:id="rId2016" xr:uid="{00000000-0004-0000-0200-0000DF070000}"/>
    <hyperlink ref="G1342" r:id="rId2017" xr:uid="{00000000-0004-0000-0200-0000E0070000}"/>
    <hyperlink ref="S1342" r:id="rId2018" xr:uid="{00000000-0004-0000-0200-0000E1070000}"/>
    <hyperlink ref="F1343" r:id="rId2019" xr:uid="{00000000-0004-0000-0200-0000E2070000}"/>
    <hyperlink ref="G1343" r:id="rId2020" xr:uid="{00000000-0004-0000-0200-0000E3070000}"/>
    <hyperlink ref="S1343" r:id="rId2021" xr:uid="{00000000-0004-0000-0200-0000E4070000}"/>
    <hyperlink ref="F1344" r:id="rId2022" xr:uid="{00000000-0004-0000-0200-0000E5070000}"/>
    <hyperlink ref="G1344" r:id="rId2023" xr:uid="{00000000-0004-0000-0200-0000E6070000}"/>
    <hyperlink ref="G1345" r:id="rId2024" xr:uid="{00000000-0004-0000-0200-0000E7070000}"/>
    <hyperlink ref="F1346" r:id="rId2025" xr:uid="{00000000-0004-0000-0200-0000E8070000}"/>
    <hyperlink ref="G1346" r:id="rId2026" xr:uid="{00000000-0004-0000-0200-0000E9070000}"/>
    <hyperlink ref="S1346" r:id="rId2027" xr:uid="{00000000-0004-0000-0200-0000EA070000}"/>
    <hyperlink ref="F1347" r:id="rId2028" xr:uid="{00000000-0004-0000-0200-0000EB070000}"/>
    <hyperlink ref="G1347" r:id="rId2029" xr:uid="{00000000-0004-0000-0200-0000EC070000}"/>
    <hyperlink ref="S1347" r:id="rId2030" xr:uid="{00000000-0004-0000-0200-0000ED070000}"/>
    <hyperlink ref="S1348" r:id="rId2031" xr:uid="{00000000-0004-0000-0200-0000EE070000}"/>
    <hyperlink ref="F1349" r:id="rId2032" xr:uid="{00000000-0004-0000-0200-0000EF070000}"/>
    <hyperlink ref="G1349" r:id="rId2033" xr:uid="{00000000-0004-0000-0200-0000F0070000}"/>
    <hyperlink ref="F1350" r:id="rId2034" xr:uid="{00000000-0004-0000-0200-0000F1070000}"/>
    <hyperlink ref="S1350" r:id="rId2035" xr:uid="{00000000-0004-0000-0200-0000F2070000}"/>
    <hyperlink ref="F1351" r:id="rId2036" location=".W_cpgcEYKOM.twitter" xr:uid="{00000000-0004-0000-0200-0000F3070000}"/>
    <hyperlink ref="F1353" r:id="rId2037" xr:uid="{00000000-0004-0000-0200-0000F4070000}"/>
    <hyperlink ref="S1353" r:id="rId2038" xr:uid="{00000000-0004-0000-0200-0000F5070000}"/>
    <hyperlink ref="G1355" r:id="rId2039" xr:uid="{00000000-0004-0000-0200-0000F6070000}"/>
    <hyperlink ref="F1356" r:id="rId2040" xr:uid="{00000000-0004-0000-0200-0000F7070000}"/>
    <hyperlink ref="S1356" r:id="rId2041" xr:uid="{00000000-0004-0000-0200-0000F8070000}"/>
    <hyperlink ref="F1357" r:id="rId2042" xr:uid="{00000000-0004-0000-0200-0000F9070000}"/>
    <hyperlink ref="G1357" r:id="rId2043" xr:uid="{00000000-0004-0000-0200-0000FA070000}"/>
    <hyperlink ref="S1357" r:id="rId2044" xr:uid="{00000000-0004-0000-0200-0000FB070000}"/>
    <hyperlink ref="F1358" r:id="rId2045" xr:uid="{00000000-0004-0000-0200-0000FC070000}"/>
    <hyperlink ref="G1358" r:id="rId2046" xr:uid="{00000000-0004-0000-0200-0000FD070000}"/>
    <hyperlink ref="F1359" r:id="rId2047" xr:uid="{00000000-0004-0000-0200-0000FE070000}"/>
    <hyperlink ref="G1360" r:id="rId2048" xr:uid="{00000000-0004-0000-0200-0000FF070000}"/>
    <hyperlink ref="F1361" r:id="rId2049" xr:uid="{00000000-0004-0000-0200-000000080000}"/>
    <hyperlink ref="S1362" r:id="rId2050" xr:uid="{00000000-0004-0000-0200-000001080000}"/>
    <hyperlink ref="F1363" r:id="rId2051" xr:uid="{00000000-0004-0000-0200-000002080000}"/>
    <hyperlink ref="S1363" r:id="rId2052" xr:uid="{00000000-0004-0000-0200-000003080000}"/>
    <hyperlink ref="F1365" r:id="rId2053" xr:uid="{00000000-0004-0000-0200-000004080000}"/>
    <hyperlink ref="S1365" r:id="rId2054" xr:uid="{00000000-0004-0000-0200-000005080000}"/>
    <hyperlink ref="F1367" r:id="rId2055" xr:uid="{00000000-0004-0000-0200-000006080000}"/>
    <hyperlink ref="G1368" r:id="rId2056" xr:uid="{00000000-0004-0000-0200-000007080000}"/>
    <hyperlink ref="S1368" r:id="rId2057" xr:uid="{00000000-0004-0000-0200-000008080000}"/>
    <hyperlink ref="G1369" r:id="rId2058" xr:uid="{00000000-0004-0000-0200-000009080000}"/>
    <hyperlink ref="F1370" r:id="rId2059" xr:uid="{00000000-0004-0000-0200-00000A080000}"/>
    <hyperlink ref="F1371" r:id="rId2060" xr:uid="{00000000-0004-0000-0200-00000B080000}"/>
    <hyperlink ref="G1371" r:id="rId2061" xr:uid="{00000000-0004-0000-0200-00000C080000}"/>
    <hyperlink ref="S1371" r:id="rId2062" xr:uid="{00000000-0004-0000-0200-00000D080000}"/>
    <hyperlink ref="F1372" r:id="rId2063" xr:uid="{00000000-0004-0000-0200-00000E080000}"/>
    <hyperlink ref="S1372" r:id="rId2064" xr:uid="{00000000-0004-0000-0200-00000F080000}"/>
    <hyperlink ref="F1373" r:id="rId2065" xr:uid="{00000000-0004-0000-0200-000010080000}"/>
    <hyperlink ref="F1374" r:id="rId2066" xr:uid="{00000000-0004-0000-0200-000011080000}"/>
    <hyperlink ref="S1374" r:id="rId2067" xr:uid="{00000000-0004-0000-0200-000012080000}"/>
    <hyperlink ref="S1375" r:id="rId2068" xr:uid="{00000000-0004-0000-0200-000013080000}"/>
    <hyperlink ref="F1376" r:id="rId2069" xr:uid="{00000000-0004-0000-0200-000014080000}"/>
    <hyperlink ref="G1376" r:id="rId2070" xr:uid="{00000000-0004-0000-0200-000015080000}"/>
    <hyperlink ref="S1377" r:id="rId2071" xr:uid="{00000000-0004-0000-0200-000016080000}"/>
    <hyperlink ref="F1378" r:id="rId2072" xr:uid="{00000000-0004-0000-0200-000017080000}"/>
    <hyperlink ref="S1378" r:id="rId2073" xr:uid="{00000000-0004-0000-0200-000018080000}"/>
    <hyperlink ref="F1379" r:id="rId2074" xr:uid="{00000000-0004-0000-0200-000019080000}"/>
    <hyperlink ref="S1379" r:id="rId2075" xr:uid="{00000000-0004-0000-0200-00001A080000}"/>
    <hyperlink ref="F1380" r:id="rId2076" xr:uid="{00000000-0004-0000-0200-00001B080000}"/>
    <hyperlink ref="G1380" r:id="rId2077" xr:uid="{00000000-0004-0000-0200-00001C080000}"/>
    <hyperlink ref="F1381" r:id="rId2078" xr:uid="{00000000-0004-0000-0200-00001D080000}"/>
    <hyperlink ref="G1381" r:id="rId2079" xr:uid="{00000000-0004-0000-0200-00001E080000}"/>
    <hyperlink ref="S1381" r:id="rId2080" xr:uid="{00000000-0004-0000-0200-00001F080000}"/>
    <hyperlink ref="F1382" r:id="rId2081" xr:uid="{00000000-0004-0000-0200-000020080000}"/>
    <hyperlink ref="S1382" r:id="rId2082" xr:uid="{00000000-0004-0000-0200-000021080000}"/>
    <hyperlink ref="F1383" r:id="rId2083" xr:uid="{00000000-0004-0000-0200-000022080000}"/>
    <hyperlink ref="C1384" r:id="rId2084" xr:uid="{00000000-0004-0000-0200-000023080000}"/>
    <hyperlink ref="F1384" r:id="rId2085" xr:uid="{00000000-0004-0000-0200-000024080000}"/>
    <hyperlink ref="G1384" r:id="rId2086" xr:uid="{00000000-0004-0000-0200-000025080000}"/>
    <hyperlink ref="S1384" r:id="rId2087" xr:uid="{00000000-0004-0000-0200-000026080000}"/>
    <hyperlink ref="F1387" r:id="rId2088" xr:uid="{00000000-0004-0000-0200-000027080000}"/>
    <hyperlink ref="F1388" r:id="rId2089" xr:uid="{00000000-0004-0000-0200-000028080000}"/>
    <hyperlink ref="F1390" r:id="rId2090" xr:uid="{00000000-0004-0000-0200-000029080000}"/>
    <hyperlink ref="F1391" r:id="rId2091" xr:uid="{00000000-0004-0000-0200-00002A080000}"/>
    <hyperlink ref="F1392" r:id="rId2092" xr:uid="{00000000-0004-0000-0200-00002B080000}"/>
    <hyperlink ref="F1393" r:id="rId2093" xr:uid="{00000000-0004-0000-0200-00002C080000}"/>
    <hyperlink ref="F1395" r:id="rId2094" xr:uid="{00000000-0004-0000-0200-00002D080000}"/>
    <hyperlink ref="S1395" r:id="rId2095" xr:uid="{00000000-0004-0000-0200-00002E080000}"/>
    <hyperlink ref="F1396" r:id="rId2096" xr:uid="{00000000-0004-0000-0200-00002F080000}"/>
    <hyperlink ref="S1396" r:id="rId2097" xr:uid="{00000000-0004-0000-0200-000030080000}"/>
    <hyperlink ref="F1397" r:id="rId2098" xr:uid="{00000000-0004-0000-0200-000031080000}"/>
    <hyperlink ref="S1397" r:id="rId2099" xr:uid="{00000000-0004-0000-0200-000032080000}"/>
    <hyperlink ref="F1398" r:id="rId2100" xr:uid="{00000000-0004-0000-0200-000033080000}"/>
    <hyperlink ref="F1399" r:id="rId2101" xr:uid="{00000000-0004-0000-0200-000034080000}"/>
    <hyperlink ref="F1400" r:id="rId2102" xr:uid="{00000000-0004-0000-0200-000035080000}"/>
    <hyperlink ref="S1400" r:id="rId2103" xr:uid="{00000000-0004-0000-0200-000036080000}"/>
    <hyperlink ref="F1401" r:id="rId2104" xr:uid="{00000000-0004-0000-0200-000037080000}"/>
    <hyperlink ref="F1402" r:id="rId2105" xr:uid="{00000000-0004-0000-0200-000038080000}"/>
    <hyperlink ref="F1403" r:id="rId2106" xr:uid="{00000000-0004-0000-0200-000039080000}"/>
    <hyperlink ref="F1404" r:id="rId2107" xr:uid="{00000000-0004-0000-0200-00003A080000}"/>
    <hyperlink ref="G1404" r:id="rId2108" xr:uid="{00000000-0004-0000-0200-00003B080000}"/>
    <hyperlink ref="S1404" r:id="rId2109" xr:uid="{00000000-0004-0000-0200-00003C080000}"/>
    <hyperlink ref="G1405" r:id="rId2110" xr:uid="{00000000-0004-0000-0200-00003D080000}"/>
    <hyperlink ref="C1406" r:id="rId2111" xr:uid="{00000000-0004-0000-0200-00003E080000}"/>
    <hyperlink ref="F1406" r:id="rId2112" xr:uid="{00000000-0004-0000-0200-00003F080000}"/>
    <hyperlink ref="S1406" r:id="rId2113" xr:uid="{00000000-0004-0000-0200-000040080000}"/>
    <hyperlink ref="F1408" r:id="rId2114" xr:uid="{00000000-0004-0000-0200-000041080000}"/>
    <hyperlink ref="S1408" r:id="rId2115" xr:uid="{00000000-0004-0000-0200-000042080000}"/>
    <hyperlink ref="F1409" r:id="rId2116" xr:uid="{00000000-0004-0000-0200-000043080000}"/>
    <hyperlink ref="G1409" r:id="rId2117" xr:uid="{00000000-0004-0000-0200-000044080000}"/>
    <hyperlink ref="S1409" r:id="rId2118" xr:uid="{00000000-0004-0000-0200-000045080000}"/>
    <hyperlink ref="F1410" r:id="rId2119" xr:uid="{00000000-0004-0000-0200-000046080000}"/>
    <hyperlink ref="F1411" r:id="rId2120" location=".W_ch66RUgJM.twitter" xr:uid="{00000000-0004-0000-0200-000047080000}"/>
    <hyperlink ref="F1412" r:id="rId2121" xr:uid="{00000000-0004-0000-0200-000048080000}"/>
    <hyperlink ref="F1413" r:id="rId2122" xr:uid="{00000000-0004-0000-0200-000049080000}"/>
    <hyperlink ref="F1414" r:id="rId2123" xr:uid="{00000000-0004-0000-0200-00004A080000}"/>
    <hyperlink ref="F1415" r:id="rId2124" location=".W_chdswewko.facebook" xr:uid="{00000000-0004-0000-0200-00004B080000}"/>
    <hyperlink ref="F1416" r:id="rId2125" xr:uid="{00000000-0004-0000-0200-00004C080000}"/>
    <hyperlink ref="G1417" r:id="rId2126" xr:uid="{00000000-0004-0000-0200-00004D080000}"/>
    <hyperlink ref="F1418" r:id="rId2127" xr:uid="{00000000-0004-0000-0200-00004E080000}"/>
    <hyperlink ref="F1419" r:id="rId2128" xr:uid="{00000000-0004-0000-0200-00004F080000}"/>
    <hyperlink ref="S1419" r:id="rId2129" xr:uid="{00000000-0004-0000-0200-000050080000}"/>
    <hyperlink ref="G1420" r:id="rId2130" xr:uid="{00000000-0004-0000-0200-000051080000}"/>
    <hyperlink ref="F1421" r:id="rId2131" xr:uid="{00000000-0004-0000-0200-000052080000}"/>
    <hyperlink ref="S1421" r:id="rId2132" xr:uid="{00000000-0004-0000-0200-000053080000}"/>
    <hyperlink ref="F1422" r:id="rId2133" xr:uid="{00000000-0004-0000-0200-000054080000}"/>
    <hyperlink ref="G1422" r:id="rId2134" xr:uid="{00000000-0004-0000-0200-000055080000}"/>
    <hyperlink ref="S1422" r:id="rId2135" xr:uid="{00000000-0004-0000-0200-000056080000}"/>
    <hyperlink ref="F1423" r:id="rId2136" xr:uid="{00000000-0004-0000-0200-000057080000}"/>
    <hyperlink ref="S1423" r:id="rId2137" xr:uid="{00000000-0004-0000-0200-000058080000}"/>
    <hyperlink ref="F1424" r:id="rId2138" xr:uid="{00000000-0004-0000-0200-000059080000}"/>
    <hyperlink ref="S1424" r:id="rId2139" xr:uid="{00000000-0004-0000-0200-00005A080000}"/>
    <hyperlink ref="F1425" r:id="rId2140" location=".W_cfpKQO_Io.twitter" xr:uid="{00000000-0004-0000-0200-00005B080000}"/>
    <hyperlink ref="G1426" r:id="rId2141" xr:uid="{00000000-0004-0000-0200-00005C080000}"/>
    <hyperlink ref="S1426" r:id="rId2142" xr:uid="{00000000-0004-0000-0200-00005D080000}"/>
    <hyperlink ref="F1427" r:id="rId2143" xr:uid="{00000000-0004-0000-0200-00005E080000}"/>
    <hyperlink ref="S1427" r:id="rId2144" xr:uid="{00000000-0004-0000-0200-00005F080000}"/>
    <hyperlink ref="F1428" r:id="rId2145" xr:uid="{00000000-0004-0000-0200-000060080000}"/>
    <hyperlink ref="F1429" r:id="rId2146" xr:uid="{00000000-0004-0000-0200-000061080000}"/>
    <hyperlink ref="F1430" r:id="rId2147" xr:uid="{00000000-0004-0000-0200-000062080000}"/>
    <hyperlink ref="F1431" r:id="rId2148" xr:uid="{00000000-0004-0000-0200-000063080000}"/>
    <hyperlink ref="F1433" r:id="rId2149" xr:uid="{00000000-0004-0000-0200-000064080000}"/>
    <hyperlink ref="S1433" r:id="rId2150" xr:uid="{00000000-0004-0000-0200-000065080000}"/>
    <hyperlink ref="F1434" r:id="rId2151" xr:uid="{00000000-0004-0000-0200-000066080000}"/>
    <hyperlink ref="F1435" r:id="rId2152" xr:uid="{00000000-0004-0000-0200-000067080000}"/>
    <hyperlink ref="S1435" r:id="rId2153" xr:uid="{00000000-0004-0000-0200-000068080000}"/>
    <hyperlink ref="F1436" r:id="rId2154" xr:uid="{00000000-0004-0000-0200-000069080000}"/>
    <hyperlink ref="F1437" r:id="rId2155" xr:uid="{00000000-0004-0000-0200-00006A080000}"/>
    <hyperlink ref="F1438" r:id="rId2156" xr:uid="{00000000-0004-0000-0200-00006B080000}"/>
    <hyperlink ref="S1438" r:id="rId2157" xr:uid="{00000000-0004-0000-0200-00006C080000}"/>
    <hyperlink ref="F1440" r:id="rId2158" xr:uid="{00000000-0004-0000-0200-00006D080000}"/>
    <hyperlink ref="F1441" r:id="rId2159" xr:uid="{00000000-0004-0000-0200-00006E080000}"/>
    <hyperlink ref="F1442" r:id="rId2160" xr:uid="{00000000-0004-0000-0200-00006F080000}"/>
    <hyperlink ref="F1443" r:id="rId2161" xr:uid="{00000000-0004-0000-0200-000070080000}"/>
    <hyperlink ref="F1444" r:id="rId2162" xr:uid="{00000000-0004-0000-0200-000071080000}"/>
    <hyperlink ref="F1445" r:id="rId2163" xr:uid="{00000000-0004-0000-0200-000072080000}"/>
    <hyperlink ref="F1446" r:id="rId2164" xr:uid="{00000000-0004-0000-0200-000073080000}"/>
    <hyperlink ref="S1446" r:id="rId2165" xr:uid="{00000000-0004-0000-0200-000074080000}"/>
    <hyperlink ref="G1447" r:id="rId2166" xr:uid="{00000000-0004-0000-0200-000075080000}"/>
    <hyperlink ref="C1448" r:id="rId2167" xr:uid="{00000000-0004-0000-0200-000076080000}"/>
    <hyperlink ref="F1448" r:id="rId2168" xr:uid="{00000000-0004-0000-0200-000077080000}"/>
    <hyperlink ref="S1448" r:id="rId2169" xr:uid="{00000000-0004-0000-0200-000078080000}"/>
    <hyperlink ref="G1449" r:id="rId2170" xr:uid="{00000000-0004-0000-0200-000079080000}"/>
    <hyperlink ref="S1449" r:id="rId2171" xr:uid="{00000000-0004-0000-0200-00007A080000}"/>
    <hyperlink ref="F1450" r:id="rId2172" xr:uid="{00000000-0004-0000-0200-00007B080000}"/>
    <hyperlink ref="F1451" r:id="rId2173" xr:uid="{00000000-0004-0000-0200-00007C080000}"/>
    <hyperlink ref="F1452" r:id="rId2174" xr:uid="{00000000-0004-0000-0200-00007D080000}"/>
    <hyperlink ref="F1453" r:id="rId2175" xr:uid="{00000000-0004-0000-0200-00007E080000}"/>
    <hyperlink ref="S1453" r:id="rId2176" xr:uid="{00000000-0004-0000-0200-00007F080000}"/>
    <hyperlink ref="F1454" r:id="rId2177" xr:uid="{00000000-0004-0000-0200-000080080000}"/>
    <hyperlink ref="F1456" r:id="rId2178" xr:uid="{00000000-0004-0000-0200-000081080000}"/>
    <hyperlink ref="F1457" r:id="rId2179" xr:uid="{00000000-0004-0000-0200-000082080000}"/>
    <hyperlink ref="F1458" r:id="rId2180" xr:uid="{00000000-0004-0000-0200-000083080000}"/>
    <hyperlink ref="S1458" r:id="rId2181" xr:uid="{00000000-0004-0000-0200-000084080000}"/>
    <hyperlink ref="F1459" r:id="rId2182" xr:uid="{00000000-0004-0000-0200-000085080000}"/>
    <hyperlink ref="S1459" r:id="rId2183" xr:uid="{00000000-0004-0000-0200-000086080000}"/>
    <hyperlink ref="F1460" r:id="rId2184" xr:uid="{00000000-0004-0000-0200-000087080000}"/>
    <hyperlink ref="S1460" r:id="rId2185" xr:uid="{00000000-0004-0000-0200-000088080000}"/>
    <hyperlink ref="F1463" r:id="rId2186" xr:uid="{00000000-0004-0000-0200-000089080000}"/>
    <hyperlink ref="G1463" r:id="rId2187" xr:uid="{00000000-0004-0000-0200-00008A080000}"/>
    <hyperlink ref="S1463" r:id="rId2188" xr:uid="{00000000-0004-0000-0200-00008B080000}"/>
    <hyperlink ref="F1464" r:id="rId2189" xr:uid="{00000000-0004-0000-0200-00008C080000}"/>
    <hyperlink ref="F1465" r:id="rId2190" xr:uid="{00000000-0004-0000-0200-00008D080000}"/>
    <hyperlink ref="F1466" r:id="rId2191" xr:uid="{00000000-0004-0000-0200-00008E080000}"/>
    <hyperlink ref="F1467" r:id="rId2192" xr:uid="{00000000-0004-0000-0200-00008F080000}"/>
    <hyperlink ref="F1468" r:id="rId2193" xr:uid="{00000000-0004-0000-0200-000090080000}"/>
    <hyperlink ref="F1469" r:id="rId2194" location=".W_cZhTNP6d0.twitter" xr:uid="{00000000-0004-0000-0200-000091080000}"/>
    <hyperlink ref="G1470" r:id="rId2195" xr:uid="{00000000-0004-0000-0200-000092080000}"/>
    <hyperlink ref="F1471" r:id="rId2196" xr:uid="{00000000-0004-0000-0200-000093080000}"/>
    <hyperlink ref="S1471" r:id="rId2197" xr:uid="{00000000-0004-0000-0200-000094080000}"/>
    <hyperlink ref="F1472" r:id="rId2198" location=".W_cZGpH_o6w.twitter" xr:uid="{00000000-0004-0000-0200-000095080000}"/>
    <hyperlink ref="G1473" r:id="rId2199" xr:uid="{00000000-0004-0000-0200-000096080000}"/>
    <hyperlink ref="S1473" r:id="rId2200" xr:uid="{00000000-0004-0000-0200-000097080000}"/>
    <hyperlink ref="F1474" r:id="rId2201" location=".W_cYzXcLf8t.twitter" xr:uid="{00000000-0004-0000-0200-000098080000}"/>
    <hyperlink ref="F1475" r:id="rId2202" xr:uid="{00000000-0004-0000-0200-000099080000}"/>
    <hyperlink ref="S1475" r:id="rId2203" xr:uid="{00000000-0004-0000-0200-00009A080000}"/>
    <hyperlink ref="F1476" r:id="rId2204" xr:uid="{00000000-0004-0000-0200-00009B080000}"/>
    <hyperlink ref="G1476" r:id="rId2205" xr:uid="{00000000-0004-0000-0200-00009C080000}"/>
    <hyperlink ref="S1476" r:id="rId2206" xr:uid="{00000000-0004-0000-0200-00009D080000}"/>
    <hyperlink ref="C1477" r:id="rId2207" xr:uid="{00000000-0004-0000-0200-00009E080000}"/>
    <hyperlink ref="F1477" r:id="rId2208" xr:uid="{00000000-0004-0000-0200-00009F080000}"/>
    <hyperlink ref="G1477" r:id="rId2209" xr:uid="{00000000-0004-0000-0200-0000A0080000}"/>
    <hyperlink ref="S1477" r:id="rId2210" xr:uid="{00000000-0004-0000-0200-0000A1080000}"/>
    <hyperlink ref="F1480" r:id="rId2211" xr:uid="{00000000-0004-0000-0200-0000A2080000}"/>
    <hyperlink ref="F1481" r:id="rId2212" xr:uid="{00000000-0004-0000-0200-0000A3080000}"/>
    <hyperlink ref="F1482" r:id="rId2213" xr:uid="{00000000-0004-0000-0200-0000A4080000}"/>
    <hyperlink ref="S1482" r:id="rId2214" xr:uid="{00000000-0004-0000-0200-0000A5080000}"/>
    <hyperlink ref="F1483" r:id="rId2215" xr:uid="{00000000-0004-0000-0200-0000A6080000}"/>
    <hyperlink ref="F1484" r:id="rId2216" xr:uid="{00000000-0004-0000-0200-0000A7080000}"/>
    <hyperlink ref="F1485" r:id="rId2217" xr:uid="{00000000-0004-0000-0200-0000A8080000}"/>
    <hyperlink ref="S1485" r:id="rId2218" xr:uid="{00000000-0004-0000-0200-0000A9080000}"/>
    <hyperlink ref="F1486" r:id="rId2219" xr:uid="{00000000-0004-0000-0200-0000AA080000}"/>
    <hyperlink ref="S1486" r:id="rId2220" xr:uid="{00000000-0004-0000-0200-0000AB080000}"/>
    <hyperlink ref="S1488" r:id="rId2221" xr:uid="{00000000-0004-0000-0200-0000AC080000}"/>
    <hyperlink ref="F1489" r:id="rId2222" xr:uid="{00000000-0004-0000-0200-0000AD080000}"/>
    <hyperlink ref="S1489" r:id="rId2223" xr:uid="{00000000-0004-0000-0200-0000AE080000}"/>
    <hyperlink ref="S1490" r:id="rId2224" xr:uid="{00000000-0004-0000-0200-0000AF080000}"/>
    <hyperlink ref="G1492" r:id="rId2225" xr:uid="{00000000-0004-0000-0200-0000B0080000}"/>
    <hyperlink ref="S1492" r:id="rId2226" xr:uid="{00000000-0004-0000-0200-0000B1080000}"/>
    <hyperlink ref="F1493" r:id="rId2227" xr:uid="{00000000-0004-0000-0200-0000B2080000}"/>
    <hyperlink ref="G1493" r:id="rId2228" xr:uid="{00000000-0004-0000-0200-0000B3080000}"/>
    <hyperlink ref="F1494" r:id="rId2229" xr:uid="{00000000-0004-0000-0200-0000B4080000}"/>
    <hyperlink ref="G1494" r:id="rId2230" xr:uid="{00000000-0004-0000-0200-0000B5080000}"/>
    <hyperlink ref="S1494" r:id="rId2231" xr:uid="{00000000-0004-0000-0200-0000B6080000}"/>
    <hyperlink ref="F1495" r:id="rId2232" xr:uid="{00000000-0004-0000-0200-0000B7080000}"/>
    <hyperlink ref="G1496" r:id="rId2233" xr:uid="{00000000-0004-0000-0200-0000B8080000}"/>
    <hyperlink ref="S1497" r:id="rId2234" xr:uid="{00000000-0004-0000-0200-0000B9080000}"/>
    <hyperlink ref="F1498" r:id="rId2235" xr:uid="{00000000-0004-0000-0200-0000BA080000}"/>
    <hyperlink ref="S1498" r:id="rId2236" xr:uid="{00000000-0004-0000-0200-0000BB080000}"/>
    <hyperlink ref="F1499" r:id="rId2237" xr:uid="{00000000-0004-0000-0200-0000BC080000}"/>
    <hyperlink ref="S1499" r:id="rId2238" xr:uid="{00000000-0004-0000-0200-0000BD080000}"/>
    <hyperlink ref="F1500" r:id="rId2239" xr:uid="{00000000-0004-0000-0200-0000BE080000}"/>
    <hyperlink ref="S1500" r:id="rId2240" xr:uid="{00000000-0004-0000-0200-0000BF080000}"/>
    <hyperlink ref="F1501" r:id="rId2241" xr:uid="{00000000-0004-0000-0200-0000C0080000}"/>
    <hyperlink ref="G1501" r:id="rId2242" xr:uid="{00000000-0004-0000-0200-0000C1080000}"/>
    <hyperlink ref="S1501" r:id="rId2243" xr:uid="{00000000-0004-0000-0200-0000C2080000}"/>
    <hyperlink ref="G1502" r:id="rId2244" xr:uid="{00000000-0004-0000-0200-0000C3080000}"/>
    <hyperlink ref="F1504" r:id="rId2245" xr:uid="{00000000-0004-0000-0200-0000C4080000}"/>
    <hyperlink ref="F1505" r:id="rId2246" xr:uid="{00000000-0004-0000-0200-0000C5080000}"/>
    <hyperlink ref="F1506" r:id="rId2247" location=".W_cTMwZSN28.facebook" xr:uid="{00000000-0004-0000-0200-0000C6080000}"/>
    <hyperlink ref="F1507" r:id="rId2248" xr:uid="{00000000-0004-0000-0200-0000C7080000}"/>
    <hyperlink ref="S1507" r:id="rId2249" xr:uid="{00000000-0004-0000-0200-0000C8080000}"/>
    <hyperlink ref="S1508" r:id="rId2250" xr:uid="{00000000-0004-0000-0200-0000C9080000}"/>
    <hyperlink ref="F1509" r:id="rId2251" location=".W_cTGqZePeo.twitter" xr:uid="{00000000-0004-0000-0200-0000CA080000}"/>
    <hyperlink ref="F1510" r:id="rId2252" xr:uid="{00000000-0004-0000-0200-0000CB080000}"/>
    <hyperlink ref="F1511" r:id="rId2253" xr:uid="{00000000-0004-0000-0200-0000CC080000}"/>
    <hyperlink ref="G1512" r:id="rId2254" xr:uid="{00000000-0004-0000-0200-0000CD080000}"/>
    <hyperlink ref="F1513" r:id="rId2255" xr:uid="{00000000-0004-0000-0200-0000CE080000}"/>
    <hyperlink ref="S1513" r:id="rId2256" xr:uid="{00000000-0004-0000-0200-0000CF080000}"/>
    <hyperlink ref="F1514" r:id="rId2257" xr:uid="{00000000-0004-0000-0200-0000D0080000}"/>
    <hyperlink ref="S1514" r:id="rId2258" xr:uid="{00000000-0004-0000-0200-0000D1080000}"/>
    <hyperlink ref="F1515" r:id="rId2259" xr:uid="{00000000-0004-0000-0200-0000D2080000}"/>
    <hyperlink ref="F1516" r:id="rId2260" xr:uid="{00000000-0004-0000-0200-0000D3080000}"/>
    <hyperlink ref="F1518" r:id="rId2261" xr:uid="{00000000-0004-0000-0200-0000D4080000}"/>
    <hyperlink ref="G1520" r:id="rId2262" xr:uid="{00000000-0004-0000-0200-0000D5080000}"/>
    <hyperlink ref="G1521" r:id="rId2263" xr:uid="{00000000-0004-0000-0200-0000D6080000}"/>
    <hyperlink ref="S1521" r:id="rId2264" xr:uid="{00000000-0004-0000-0200-0000D7080000}"/>
    <hyperlink ref="F1522" r:id="rId2265" xr:uid="{00000000-0004-0000-0200-0000D8080000}"/>
    <hyperlink ref="S1522" r:id="rId2266" xr:uid="{00000000-0004-0000-0200-0000D9080000}"/>
    <hyperlink ref="F1527" r:id="rId2267" xr:uid="{00000000-0004-0000-0200-0000DA080000}"/>
    <hyperlink ref="S1527" r:id="rId2268" xr:uid="{00000000-0004-0000-0200-0000DB080000}"/>
    <hyperlink ref="F1529" r:id="rId2269" xr:uid="{00000000-0004-0000-0200-0000DC080000}"/>
    <hyperlink ref="G1529" r:id="rId2270" xr:uid="{00000000-0004-0000-0200-0000DD080000}"/>
    <hyperlink ref="S1529" r:id="rId2271" xr:uid="{00000000-0004-0000-0200-0000DE080000}"/>
    <hyperlink ref="F1532" r:id="rId2272" location=".W_cPYCYmLBo.twitter" xr:uid="{00000000-0004-0000-0200-0000DF080000}"/>
    <hyperlink ref="F1533" r:id="rId2273" xr:uid="{00000000-0004-0000-0200-0000E0080000}"/>
    <hyperlink ref="S1535" r:id="rId2274" xr:uid="{00000000-0004-0000-0200-0000E1080000}"/>
    <hyperlink ref="F1536" r:id="rId2275" location="Echobox=1542917381" xr:uid="{00000000-0004-0000-0200-0000E2080000}"/>
    <hyperlink ref="S1536" r:id="rId2276" xr:uid="{00000000-0004-0000-0200-0000E3080000}"/>
    <hyperlink ref="F1537" r:id="rId2277" xr:uid="{00000000-0004-0000-0200-0000E4080000}"/>
    <hyperlink ref="G1537" r:id="rId2278" xr:uid="{00000000-0004-0000-0200-0000E5080000}"/>
    <hyperlink ref="F1538" r:id="rId2279" xr:uid="{00000000-0004-0000-0200-0000E6080000}"/>
    <hyperlink ref="S1538" r:id="rId2280" xr:uid="{00000000-0004-0000-0200-0000E7080000}"/>
    <hyperlink ref="S1539" r:id="rId2281" xr:uid="{00000000-0004-0000-0200-0000E8080000}"/>
    <hyperlink ref="F1540" r:id="rId2282" xr:uid="{00000000-0004-0000-0200-0000E9080000}"/>
    <hyperlink ref="S1540" r:id="rId2283" xr:uid="{00000000-0004-0000-0200-0000EA080000}"/>
    <hyperlink ref="F1541" r:id="rId2284" xr:uid="{00000000-0004-0000-0200-0000EB080000}"/>
    <hyperlink ref="F1542" r:id="rId2285" xr:uid="{00000000-0004-0000-0200-0000EC080000}"/>
    <hyperlink ref="F1543" r:id="rId2286" xr:uid="{00000000-0004-0000-0200-0000ED080000}"/>
    <hyperlink ref="G1543" r:id="rId2287" xr:uid="{00000000-0004-0000-0200-0000EE080000}"/>
    <hyperlink ref="F1544" r:id="rId2288" xr:uid="{00000000-0004-0000-0200-0000EF080000}"/>
    <hyperlink ref="S1544" r:id="rId2289" xr:uid="{00000000-0004-0000-0200-0000F0080000}"/>
    <hyperlink ref="F1546" r:id="rId2290" xr:uid="{00000000-0004-0000-0200-0000F1080000}"/>
    <hyperlink ref="F1547" r:id="rId2291" xr:uid="{00000000-0004-0000-0200-0000F2080000}"/>
    <hyperlink ref="S1547" r:id="rId2292" xr:uid="{00000000-0004-0000-0200-0000F3080000}"/>
    <hyperlink ref="F1548" r:id="rId2293" xr:uid="{00000000-0004-0000-0200-0000F4080000}"/>
    <hyperlink ref="G1548" r:id="rId2294" xr:uid="{00000000-0004-0000-0200-0000F5080000}"/>
    <hyperlink ref="S1548" r:id="rId2295" xr:uid="{00000000-0004-0000-0200-0000F6080000}"/>
    <hyperlink ref="F1549" r:id="rId2296" xr:uid="{00000000-0004-0000-0200-0000F7080000}"/>
    <hyperlink ref="S1549" r:id="rId2297" xr:uid="{00000000-0004-0000-0200-0000F8080000}"/>
    <hyperlink ref="F1550" r:id="rId2298" xr:uid="{00000000-0004-0000-0200-0000F9080000}"/>
    <hyperlink ref="G1550" r:id="rId2299" xr:uid="{00000000-0004-0000-0200-0000FA080000}"/>
    <hyperlink ref="F1551" r:id="rId2300" xr:uid="{00000000-0004-0000-0200-0000FB080000}"/>
    <hyperlink ref="F1553" r:id="rId2301" location="origin=https%3A%2F%2Fwww.google.com&amp;prerenderSize=1&amp;visibilityState=visible&amp;paddingTop=54&amp;p2r=0&amp;horizontalScrolling=0&amp;csi=1&amp;aoh=15429174514693&amp;viewerUrl=https%3A%2F%2Fwww.google.com%2Famp%2Fs%2Fokdiario.com%2Fespana%2F2018%2F11%2F15%2Fsanchez-renuncia-cosoberania-gibraltar-acuerdo-del-brexit-3351904%2Famp&amp;history=1&amp;storage=1&amp;cid=1&amp;cap=swipe%2CnavigateTo%2Ccid%2Cfragment%2CreplaceUrl" xr:uid="{00000000-0004-0000-0200-0000FC080000}"/>
    <hyperlink ref="F1555" r:id="rId2302" xr:uid="{00000000-0004-0000-0200-0000FD080000}"/>
    <hyperlink ref="S1555" r:id="rId2303" xr:uid="{00000000-0004-0000-0200-0000FE080000}"/>
    <hyperlink ref="F1557" r:id="rId2304" xr:uid="{00000000-0004-0000-0200-0000FF080000}"/>
    <hyperlink ref="F1558" r:id="rId2305" location="ns_campaign=amp-rrss-inducido&amp;ns_mchannel=abc-es&amp;ns_source=tw&amp;ns_linkname=noticia.foto&amp;ns_fee=0" xr:uid="{00000000-0004-0000-0200-000000090000}"/>
    <hyperlink ref="F1559" r:id="rId2306" xr:uid="{00000000-0004-0000-0200-000001090000}"/>
    <hyperlink ref="F1560" r:id="rId2307" xr:uid="{00000000-0004-0000-0200-000002090000}"/>
    <hyperlink ref="S1560" r:id="rId2308" xr:uid="{00000000-0004-0000-0200-000003090000}"/>
    <hyperlink ref="F1561" r:id="rId2309" xr:uid="{00000000-0004-0000-0200-000004090000}"/>
    <hyperlink ref="S1563" r:id="rId2310" xr:uid="{00000000-0004-0000-0200-000005090000}"/>
    <hyperlink ref="F1564" r:id="rId2311" xr:uid="{00000000-0004-0000-0200-000006090000}"/>
    <hyperlink ref="S1564" r:id="rId2312" xr:uid="{00000000-0004-0000-0200-000007090000}"/>
    <hyperlink ref="F1565" r:id="rId2313" xr:uid="{00000000-0004-0000-0200-000008090000}"/>
    <hyperlink ref="F1566" r:id="rId2314" xr:uid="{00000000-0004-0000-0200-000009090000}"/>
    <hyperlink ref="F1567" r:id="rId2315" location=".W_cLy1DeGp4.twitter" xr:uid="{00000000-0004-0000-0200-00000A090000}"/>
    <hyperlink ref="F1570" r:id="rId2316" xr:uid="{00000000-0004-0000-0200-00000B090000}"/>
    <hyperlink ref="S1571" r:id="rId2317" xr:uid="{00000000-0004-0000-0200-00000C090000}"/>
    <hyperlink ref="S1573" r:id="rId2318" xr:uid="{00000000-0004-0000-0200-00000D090000}"/>
    <hyperlink ref="F1576" r:id="rId2319" xr:uid="{00000000-0004-0000-0200-00000E090000}"/>
    <hyperlink ref="S1576" r:id="rId2320" xr:uid="{00000000-0004-0000-0200-00000F090000}"/>
    <hyperlink ref="F1578" r:id="rId2321" xr:uid="{00000000-0004-0000-0200-000010090000}"/>
    <hyperlink ref="F1579" r:id="rId2322" xr:uid="{00000000-0004-0000-0200-000011090000}"/>
    <hyperlink ref="S1579" r:id="rId2323" xr:uid="{00000000-0004-0000-0200-000012090000}"/>
    <hyperlink ref="F1580" r:id="rId2324" xr:uid="{00000000-0004-0000-0200-000013090000}"/>
    <hyperlink ref="S1580" r:id="rId2325" xr:uid="{00000000-0004-0000-0200-000014090000}"/>
    <hyperlink ref="S1582" r:id="rId2326" xr:uid="{00000000-0004-0000-0200-000015090000}"/>
    <hyperlink ref="F1583" r:id="rId2327" xr:uid="{00000000-0004-0000-0200-000016090000}"/>
    <hyperlink ref="F1584" r:id="rId2328" xr:uid="{00000000-0004-0000-0200-000017090000}"/>
    <hyperlink ref="F1585" r:id="rId2329" xr:uid="{00000000-0004-0000-0200-000018090000}"/>
    <hyperlink ref="F1586" r:id="rId2330" xr:uid="{00000000-0004-0000-0200-000019090000}"/>
    <hyperlink ref="G1586" r:id="rId2331" xr:uid="{00000000-0004-0000-0200-00001A090000}"/>
    <hyperlink ref="F1587" r:id="rId2332" xr:uid="{00000000-0004-0000-0200-00001B090000}"/>
    <hyperlink ref="F1588" r:id="rId2333" xr:uid="{00000000-0004-0000-0200-00001C090000}"/>
    <hyperlink ref="F1589" r:id="rId2334" xr:uid="{00000000-0004-0000-0200-00001D090000}"/>
    <hyperlink ref="F1590" r:id="rId2335" xr:uid="{00000000-0004-0000-0200-00001E090000}"/>
    <hyperlink ref="S1590" r:id="rId2336" xr:uid="{00000000-0004-0000-0200-00001F090000}"/>
    <hyperlink ref="F1591" r:id="rId2337" xr:uid="{00000000-0004-0000-0200-000020090000}"/>
    <hyperlink ref="G1594" r:id="rId2338" xr:uid="{00000000-0004-0000-0200-000021090000}"/>
    <hyperlink ref="F1595" r:id="rId2339" xr:uid="{00000000-0004-0000-0200-000022090000}"/>
    <hyperlink ref="F1596" r:id="rId2340" xr:uid="{00000000-0004-0000-0200-000023090000}"/>
    <hyperlink ref="S1596" r:id="rId2341" xr:uid="{00000000-0004-0000-0200-000024090000}"/>
    <hyperlink ref="F1597" r:id="rId2342" xr:uid="{00000000-0004-0000-0200-000025090000}"/>
    <hyperlink ref="S1598" r:id="rId2343" xr:uid="{00000000-0004-0000-0200-000026090000}"/>
    <hyperlink ref="F1599" r:id="rId2344" xr:uid="{00000000-0004-0000-0200-000027090000}"/>
    <hyperlink ref="S1599" r:id="rId2345" xr:uid="{00000000-0004-0000-0200-000028090000}"/>
    <hyperlink ref="F1600" r:id="rId2346" xr:uid="{00000000-0004-0000-0200-000029090000}"/>
    <hyperlink ref="S1600" r:id="rId2347" xr:uid="{00000000-0004-0000-0200-00002A090000}"/>
    <hyperlink ref="S1601" r:id="rId2348" xr:uid="{00000000-0004-0000-0200-00002B090000}"/>
    <hyperlink ref="F1602" r:id="rId2349" xr:uid="{00000000-0004-0000-0200-00002C090000}"/>
    <hyperlink ref="G1603" r:id="rId2350" xr:uid="{00000000-0004-0000-0200-00002D090000}"/>
    <hyperlink ref="S1603" r:id="rId2351" xr:uid="{00000000-0004-0000-0200-00002E090000}"/>
    <hyperlink ref="F1606" r:id="rId2352" xr:uid="{00000000-0004-0000-0200-00002F090000}"/>
    <hyperlink ref="S1607" r:id="rId2353" xr:uid="{00000000-0004-0000-0200-000030090000}"/>
    <hyperlink ref="F1608" r:id="rId2354" xr:uid="{00000000-0004-0000-0200-000031090000}"/>
    <hyperlink ref="S1608" r:id="rId2355" xr:uid="{00000000-0004-0000-0200-000032090000}"/>
    <hyperlink ref="F1609" r:id="rId2356" xr:uid="{00000000-0004-0000-0200-000033090000}"/>
    <hyperlink ref="G1609" r:id="rId2357" xr:uid="{00000000-0004-0000-0200-000034090000}"/>
    <hyperlink ref="S1609" r:id="rId2358" xr:uid="{00000000-0004-0000-0200-000035090000}"/>
    <hyperlink ref="F1610" r:id="rId2359" xr:uid="{00000000-0004-0000-0200-000036090000}"/>
    <hyperlink ref="S1610" r:id="rId2360" xr:uid="{00000000-0004-0000-0200-000037090000}"/>
    <hyperlink ref="F1611" r:id="rId2361" xr:uid="{00000000-0004-0000-0200-000038090000}"/>
    <hyperlink ref="F1612" r:id="rId2362" location=".W_cHH0D9T5Z.twitter" xr:uid="{00000000-0004-0000-0200-000039090000}"/>
    <hyperlink ref="F1613" r:id="rId2363" xr:uid="{00000000-0004-0000-0200-00003A090000}"/>
    <hyperlink ref="F1614" r:id="rId2364" xr:uid="{00000000-0004-0000-0200-00003B090000}"/>
    <hyperlink ref="F1615" r:id="rId2365" xr:uid="{00000000-0004-0000-0200-00003C090000}"/>
    <hyperlink ref="F1616" r:id="rId2366" xr:uid="{00000000-0004-0000-0200-00003D090000}"/>
    <hyperlink ref="F1617" r:id="rId2367" xr:uid="{00000000-0004-0000-0200-00003E090000}"/>
    <hyperlink ref="F1618" r:id="rId2368" xr:uid="{00000000-0004-0000-0200-00003F090000}"/>
    <hyperlink ref="F1619" r:id="rId2369" xr:uid="{00000000-0004-0000-0200-000040090000}"/>
    <hyperlink ref="S1619" r:id="rId2370" xr:uid="{00000000-0004-0000-0200-000041090000}"/>
    <hyperlink ref="G1621" r:id="rId2371" xr:uid="{00000000-0004-0000-0200-000042090000}"/>
    <hyperlink ref="S1621" r:id="rId2372" xr:uid="{00000000-0004-0000-0200-000043090000}"/>
    <hyperlink ref="F1622" r:id="rId2373" xr:uid="{00000000-0004-0000-0200-000044090000}"/>
    <hyperlink ref="S1622" r:id="rId2374" xr:uid="{00000000-0004-0000-0200-000045090000}"/>
    <hyperlink ref="F1623" r:id="rId2375" xr:uid="{00000000-0004-0000-0200-000046090000}"/>
    <hyperlink ref="S1623" r:id="rId2376" xr:uid="{00000000-0004-0000-0200-000047090000}"/>
    <hyperlink ref="F1625" r:id="rId2377" xr:uid="{00000000-0004-0000-0200-000048090000}"/>
    <hyperlink ref="F1627" r:id="rId2378" xr:uid="{00000000-0004-0000-0200-000049090000}"/>
    <hyperlink ref="F1628" r:id="rId2379" xr:uid="{00000000-0004-0000-0200-00004A090000}"/>
    <hyperlink ref="G1629" r:id="rId2380" xr:uid="{00000000-0004-0000-0200-00004B090000}"/>
    <hyperlink ref="F1630" r:id="rId2381" location=".W_cE6227lto.twitter" xr:uid="{00000000-0004-0000-0200-00004C090000}"/>
    <hyperlink ref="F1631" r:id="rId2382" xr:uid="{00000000-0004-0000-0200-00004D090000}"/>
    <hyperlink ref="F1632" r:id="rId2383" xr:uid="{00000000-0004-0000-0200-00004E090000}"/>
    <hyperlink ref="S1632" r:id="rId2384" xr:uid="{00000000-0004-0000-0200-00004F090000}"/>
    <hyperlink ref="S1633" r:id="rId2385" xr:uid="{00000000-0004-0000-0200-000050090000}"/>
    <hyperlink ref="F1634" r:id="rId2386" xr:uid="{00000000-0004-0000-0200-000051090000}"/>
    <hyperlink ref="S1634" r:id="rId2387" xr:uid="{00000000-0004-0000-0200-000052090000}"/>
    <hyperlink ref="F1635" r:id="rId2388" xr:uid="{00000000-0004-0000-0200-000053090000}"/>
    <hyperlink ref="S1635" r:id="rId2389" xr:uid="{00000000-0004-0000-0200-000054090000}"/>
    <hyperlink ref="F1637" r:id="rId2390" xr:uid="{00000000-0004-0000-0200-000055090000}"/>
    <hyperlink ref="G1637" r:id="rId2391" xr:uid="{00000000-0004-0000-0200-000056090000}"/>
    <hyperlink ref="S1637" r:id="rId2392" xr:uid="{00000000-0004-0000-0200-000057090000}"/>
    <hyperlink ref="F1638" r:id="rId2393" xr:uid="{00000000-0004-0000-0200-000058090000}"/>
    <hyperlink ref="S1638" r:id="rId2394" xr:uid="{00000000-0004-0000-0200-000059090000}"/>
    <hyperlink ref="F1639" r:id="rId2395" xr:uid="{00000000-0004-0000-0200-00005A090000}"/>
    <hyperlink ref="S1639" r:id="rId2396" xr:uid="{00000000-0004-0000-0200-00005B090000}"/>
    <hyperlink ref="F1640" r:id="rId2397" xr:uid="{00000000-0004-0000-0200-00005C090000}"/>
    <hyperlink ref="G1640" r:id="rId2398" xr:uid="{00000000-0004-0000-0200-00005D090000}"/>
    <hyperlink ref="F1641" r:id="rId2399" xr:uid="{00000000-0004-0000-0200-00005E090000}"/>
    <hyperlink ref="F1642" r:id="rId2400" xr:uid="{00000000-0004-0000-0200-00005F090000}"/>
    <hyperlink ref="F1643" r:id="rId2401" xr:uid="{00000000-0004-0000-0200-000060090000}"/>
    <hyperlink ref="F1644" r:id="rId2402" xr:uid="{00000000-0004-0000-0200-000061090000}"/>
    <hyperlink ref="F1646" r:id="rId2403" xr:uid="{00000000-0004-0000-0200-000062090000}"/>
    <hyperlink ref="F1647" r:id="rId2404" xr:uid="{00000000-0004-0000-0200-000063090000}"/>
    <hyperlink ref="F1648" r:id="rId2405" xr:uid="{00000000-0004-0000-0200-000064090000}"/>
    <hyperlink ref="G1648" r:id="rId2406" xr:uid="{00000000-0004-0000-0200-000065090000}"/>
    <hyperlink ref="F1649" r:id="rId2407" xr:uid="{00000000-0004-0000-0200-000066090000}"/>
    <hyperlink ref="S1649" r:id="rId2408" xr:uid="{00000000-0004-0000-0200-000067090000}"/>
    <hyperlink ref="F1650" r:id="rId2409" xr:uid="{00000000-0004-0000-0200-000068090000}"/>
    <hyperlink ref="F1651" r:id="rId2410" xr:uid="{00000000-0004-0000-0200-000069090000}"/>
    <hyperlink ref="S1651" r:id="rId2411" xr:uid="{00000000-0004-0000-0200-00006A090000}"/>
    <hyperlink ref="F1652" r:id="rId2412" location="click=https://t.co/fQk3z7Cgwn" xr:uid="{00000000-0004-0000-0200-00006B090000}"/>
    <hyperlink ref="F1653" r:id="rId2413" xr:uid="{00000000-0004-0000-0200-00006C090000}"/>
    <hyperlink ref="F1654" r:id="rId2414" xr:uid="{00000000-0004-0000-0200-00006D090000}"/>
    <hyperlink ref="F1655" r:id="rId2415" xr:uid="{00000000-0004-0000-0200-00006E090000}"/>
    <hyperlink ref="F1656" r:id="rId2416" xr:uid="{00000000-0004-0000-0200-00006F090000}"/>
    <hyperlink ref="F1657" r:id="rId2417" xr:uid="{00000000-0004-0000-0200-000070090000}"/>
    <hyperlink ref="C1658" r:id="rId2418" xr:uid="{00000000-0004-0000-0200-000071090000}"/>
    <hyperlink ref="F1658" r:id="rId2419" xr:uid="{00000000-0004-0000-0200-000072090000}"/>
    <hyperlink ref="G1658" r:id="rId2420" xr:uid="{00000000-0004-0000-0200-000073090000}"/>
    <hyperlink ref="S1658" r:id="rId2421" xr:uid="{00000000-0004-0000-0200-000074090000}"/>
    <hyperlink ref="F1660" r:id="rId2422" xr:uid="{00000000-0004-0000-0200-000075090000}"/>
    <hyperlink ref="F1661" r:id="rId2423" xr:uid="{00000000-0004-0000-0200-000076090000}"/>
    <hyperlink ref="G1661" r:id="rId2424" xr:uid="{00000000-0004-0000-0200-000077090000}"/>
    <hyperlink ref="S1661" r:id="rId2425" xr:uid="{00000000-0004-0000-0200-000078090000}"/>
    <hyperlink ref="F1662" r:id="rId2426" xr:uid="{00000000-0004-0000-0200-000079090000}"/>
    <hyperlink ref="F1663" r:id="rId2427" xr:uid="{00000000-0004-0000-0200-00007A090000}"/>
    <hyperlink ref="F1667" r:id="rId2428" xr:uid="{00000000-0004-0000-0200-00007B090000}"/>
    <hyperlink ref="S1667" r:id="rId2429" xr:uid="{00000000-0004-0000-0200-00007C090000}"/>
    <hyperlink ref="G1668" r:id="rId2430" xr:uid="{00000000-0004-0000-0200-00007D090000}"/>
    <hyperlink ref="F1669" r:id="rId2431" xr:uid="{00000000-0004-0000-0200-00007E090000}"/>
    <hyperlink ref="F1671" r:id="rId2432" location="click=https://t.co/xPO7whsEe4" xr:uid="{00000000-0004-0000-0200-00007F090000}"/>
    <hyperlink ref="F1674" r:id="rId2433" xr:uid="{00000000-0004-0000-0200-000080090000}"/>
    <hyperlink ref="S1674" r:id="rId2434" xr:uid="{00000000-0004-0000-0200-000081090000}"/>
    <hyperlink ref="F1675" r:id="rId2435" xr:uid="{00000000-0004-0000-0200-000082090000}"/>
    <hyperlink ref="F1676" r:id="rId2436" xr:uid="{00000000-0004-0000-0200-000083090000}"/>
    <hyperlink ref="S1676" r:id="rId2437" xr:uid="{00000000-0004-0000-0200-000084090000}"/>
    <hyperlink ref="G1677" r:id="rId2438" xr:uid="{00000000-0004-0000-0200-000085090000}"/>
    <hyperlink ref="S1677" r:id="rId2439" xr:uid="{00000000-0004-0000-0200-000086090000}"/>
    <hyperlink ref="F1678" r:id="rId2440" xr:uid="{00000000-0004-0000-0200-000087090000}"/>
    <hyperlink ref="G1678" r:id="rId2441" xr:uid="{00000000-0004-0000-0200-000088090000}"/>
    <hyperlink ref="S1678" r:id="rId2442" xr:uid="{00000000-0004-0000-0200-000089090000}"/>
    <hyperlink ref="F1679" r:id="rId2443" xr:uid="{00000000-0004-0000-0200-00008A090000}"/>
    <hyperlink ref="F1680" r:id="rId2444" xr:uid="{00000000-0004-0000-0200-00008B090000}"/>
    <hyperlink ref="C1681" r:id="rId2445" xr:uid="{00000000-0004-0000-0200-00008C090000}"/>
    <hyperlink ref="F1681" r:id="rId2446" xr:uid="{00000000-0004-0000-0200-00008D090000}"/>
    <hyperlink ref="G1681" r:id="rId2447" xr:uid="{00000000-0004-0000-0200-00008E090000}"/>
    <hyperlink ref="S1681" r:id="rId2448" xr:uid="{00000000-0004-0000-0200-00008F090000}"/>
    <hyperlink ref="F1683" r:id="rId2449" xr:uid="{00000000-0004-0000-0200-000090090000}"/>
    <hyperlink ref="G1683" r:id="rId2450" xr:uid="{00000000-0004-0000-0200-000091090000}"/>
    <hyperlink ref="S1683" r:id="rId2451" xr:uid="{00000000-0004-0000-0200-000092090000}"/>
    <hyperlink ref="F1684" r:id="rId2452" location="Echobox=1542831164" xr:uid="{00000000-0004-0000-0200-000093090000}"/>
    <hyperlink ref="S1684" r:id="rId2453" xr:uid="{00000000-0004-0000-0200-000094090000}"/>
    <hyperlink ref="F1685" r:id="rId2454" xr:uid="{00000000-0004-0000-0200-000095090000}"/>
    <hyperlink ref="F1687" r:id="rId2455" xr:uid="{00000000-0004-0000-0200-000096090000}"/>
    <hyperlink ref="F1688" r:id="rId2456" xr:uid="{00000000-0004-0000-0200-000097090000}"/>
    <hyperlink ref="S1688" r:id="rId2457" xr:uid="{00000000-0004-0000-0200-000098090000}"/>
    <hyperlink ref="F1689" r:id="rId2458" xr:uid="{00000000-0004-0000-0200-000099090000}"/>
    <hyperlink ref="S1689" r:id="rId2459" xr:uid="{00000000-0004-0000-0200-00009A090000}"/>
    <hyperlink ref="F1690" r:id="rId2460" xr:uid="{00000000-0004-0000-0200-00009B090000}"/>
    <hyperlink ref="G1690" r:id="rId2461" xr:uid="{00000000-0004-0000-0200-00009C090000}"/>
    <hyperlink ref="S1690" r:id="rId2462" xr:uid="{00000000-0004-0000-0200-00009D090000}"/>
    <hyperlink ref="F1691" r:id="rId2463" xr:uid="{00000000-0004-0000-0200-00009E090000}"/>
    <hyperlink ref="S1691" r:id="rId2464" xr:uid="{00000000-0004-0000-0200-00009F090000}"/>
    <hyperlink ref="F1692" r:id="rId2465" xr:uid="{00000000-0004-0000-0200-0000A0090000}"/>
    <hyperlink ref="F1693" r:id="rId2466" xr:uid="{00000000-0004-0000-0200-0000A1090000}"/>
    <hyperlink ref="F1694" r:id="rId2467" location=".W_b7IA318Bs.twitter" xr:uid="{00000000-0004-0000-0200-0000A2090000}"/>
    <hyperlink ref="F1695" r:id="rId2468" xr:uid="{00000000-0004-0000-0200-0000A3090000}"/>
    <hyperlink ref="F1696" r:id="rId2469" xr:uid="{00000000-0004-0000-0200-0000A4090000}"/>
    <hyperlink ref="S1696" r:id="rId2470" xr:uid="{00000000-0004-0000-0200-0000A5090000}"/>
    <hyperlink ref="F1697" r:id="rId2471" xr:uid="{00000000-0004-0000-0200-0000A6090000}"/>
    <hyperlink ref="S1698" r:id="rId2472" xr:uid="{00000000-0004-0000-0200-0000A7090000}"/>
    <hyperlink ref="F1699" r:id="rId2473" xr:uid="{00000000-0004-0000-0200-0000A8090000}"/>
    <hyperlink ref="S1700" r:id="rId2474" xr:uid="{00000000-0004-0000-0200-0000A9090000}"/>
    <hyperlink ref="F1701" r:id="rId2475" xr:uid="{00000000-0004-0000-0200-0000AA090000}"/>
    <hyperlink ref="G1701" r:id="rId2476" xr:uid="{00000000-0004-0000-0200-0000AB090000}"/>
    <hyperlink ref="S1701" r:id="rId2477" xr:uid="{00000000-0004-0000-0200-0000AC090000}"/>
    <hyperlink ref="F1702" r:id="rId2478" xr:uid="{00000000-0004-0000-0200-0000AD090000}"/>
    <hyperlink ref="F1703" r:id="rId2479" xr:uid="{00000000-0004-0000-0200-0000AE090000}"/>
    <hyperlink ref="F1704" r:id="rId2480" xr:uid="{00000000-0004-0000-0200-0000AF090000}"/>
    <hyperlink ref="F1706" r:id="rId2481" xr:uid="{00000000-0004-0000-0200-0000B0090000}"/>
    <hyperlink ref="F1707" r:id="rId2482" xr:uid="{00000000-0004-0000-0200-0000B1090000}"/>
    <hyperlink ref="G1708" r:id="rId2483" xr:uid="{00000000-0004-0000-0200-0000B2090000}"/>
    <hyperlink ref="F1709" r:id="rId2484" xr:uid="{00000000-0004-0000-0200-0000B3090000}"/>
    <hyperlink ref="F1710" r:id="rId2485" xr:uid="{00000000-0004-0000-0200-0000B4090000}"/>
    <hyperlink ref="S1710" r:id="rId2486" xr:uid="{00000000-0004-0000-0200-0000B5090000}"/>
    <hyperlink ref="F1711" r:id="rId2487" location=".W_b4_MMfFFi.twitter" xr:uid="{00000000-0004-0000-0200-0000B6090000}"/>
    <hyperlink ref="S1711" r:id="rId2488" xr:uid="{00000000-0004-0000-0200-0000B7090000}"/>
    <hyperlink ref="F1713" r:id="rId2489" xr:uid="{00000000-0004-0000-0200-0000B8090000}"/>
    <hyperlink ref="F1714" r:id="rId2490" xr:uid="{00000000-0004-0000-0200-0000B9090000}"/>
    <hyperlink ref="F1715" r:id="rId2491" location=".W_Po_gcNQto.facebook" xr:uid="{00000000-0004-0000-0200-0000BA090000}"/>
    <hyperlink ref="S1715" r:id="rId2492" xr:uid="{00000000-0004-0000-0200-0000BB090000}"/>
    <hyperlink ref="F1716" r:id="rId2493" xr:uid="{00000000-0004-0000-0200-0000BC090000}"/>
    <hyperlink ref="F1717" r:id="rId2494" xr:uid="{00000000-0004-0000-0200-0000BD090000}"/>
    <hyperlink ref="F1718" r:id="rId2495" xr:uid="{00000000-0004-0000-0200-0000BE090000}"/>
    <hyperlink ref="F1719" r:id="rId2496" xr:uid="{00000000-0004-0000-0200-0000BF090000}"/>
    <hyperlink ref="F1720" r:id="rId2497" xr:uid="{00000000-0004-0000-0200-0000C0090000}"/>
    <hyperlink ref="G1720" r:id="rId2498" xr:uid="{00000000-0004-0000-0200-0000C1090000}"/>
    <hyperlink ref="F1725" r:id="rId2499" xr:uid="{00000000-0004-0000-0200-0000C2090000}"/>
    <hyperlink ref="F1726" r:id="rId2500" xr:uid="{00000000-0004-0000-0200-0000C3090000}"/>
    <hyperlink ref="S1726" r:id="rId2501" xr:uid="{00000000-0004-0000-0200-0000C4090000}"/>
    <hyperlink ref="F1727" r:id="rId2502" xr:uid="{00000000-0004-0000-0200-0000C5090000}"/>
    <hyperlink ref="F1728" r:id="rId2503" xr:uid="{00000000-0004-0000-0200-0000C6090000}"/>
    <hyperlink ref="G1728" r:id="rId2504" xr:uid="{00000000-0004-0000-0200-0000C7090000}"/>
    <hyperlink ref="S1728" r:id="rId2505" xr:uid="{00000000-0004-0000-0200-0000C8090000}"/>
    <hyperlink ref="F1729" r:id="rId2506" xr:uid="{00000000-0004-0000-0200-0000C9090000}"/>
    <hyperlink ref="G1730" r:id="rId2507" xr:uid="{00000000-0004-0000-0200-0000CA090000}"/>
    <hyperlink ref="S1730" r:id="rId2508" xr:uid="{00000000-0004-0000-0200-0000CB090000}"/>
    <hyperlink ref="G1731" r:id="rId2509" xr:uid="{00000000-0004-0000-0200-0000CC090000}"/>
    <hyperlink ref="S1731" r:id="rId2510" xr:uid="{00000000-0004-0000-0200-0000CD090000}"/>
    <hyperlink ref="F1732" r:id="rId2511" location=".W_b1swWyUro.twitter" xr:uid="{00000000-0004-0000-0200-0000CE090000}"/>
    <hyperlink ref="G1733" r:id="rId2512" xr:uid="{00000000-0004-0000-0200-0000CF090000}"/>
    <hyperlink ref="S1734" r:id="rId2513" xr:uid="{00000000-0004-0000-0200-0000D0090000}"/>
    <hyperlink ref="F1735" r:id="rId2514" xr:uid="{00000000-0004-0000-0200-0000D1090000}"/>
    <hyperlink ref="G1735" r:id="rId2515" xr:uid="{00000000-0004-0000-0200-0000D2090000}"/>
    <hyperlink ref="S1735" r:id="rId2516" xr:uid="{00000000-0004-0000-0200-0000D3090000}"/>
    <hyperlink ref="F1736" r:id="rId2517" xr:uid="{00000000-0004-0000-0200-0000D4090000}"/>
    <hyperlink ref="S1736" r:id="rId2518" xr:uid="{00000000-0004-0000-0200-0000D5090000}"/>
    <hyperlink ref="F1738" r:id="rId2519" xr:uid="{00000000-0004-0000-0200-0000D6090000}"/>
    <hyperlink ref="S1738" r:id="rId2520" xr:uid="{00000000-0004-0000-0200-0000D7090000}"/>
    <hyperlink ref="F1739" r:id="rId2521" xr:uid="{00000000-0004-0000-0200-0000D8090000}"/>
    <hyperlink ref="S1739" r:id="rId2522" xr:uid="{00000000-0004-0000-0200-0000D9090000}"/>
    <hyperlink ref="F1740" r:id="rId2523" xr:uid="{00000000-0004-0000-0200-0000DA090000}"/>
    <hyperlink ref="S1740" r:id="rId2524" xr:uid="{00000000-0004-0000-0200-0000DB090000}"/>
    <hyperlink ref="F1741" r:id="rId2525" xr:uid="{00000000-0004-0000-0200-0000DC090000}"/>
    <hyperlink ref="F1742" r:id="rId2526" xr:uid="{00000000-0004-0000-0200-0000DD090000}"/>
    <hyperlink ref="F1744" r:id="rId2527" xr:uid="{00000000-0004-0000-0200-0000DE090000}"/>
    <hyperlink ref="F1745" r:id="rId2528" xr:uid="{00000000-0004-0000-0200-0000DF090000}"/>
    <hyperlink ref="G1745" r:id="rId2529" xr:uid="{00000000-0004-0000-0200-0000E0090000}"/>
    <hyperlink ref="S1745" r:id="rId2530" xr:uid="{00000000-0004-0000-0200-0000E1090000}"/>
    <hyperlink ref="F1746" r:id="rId2531" xr:uid="{00000000-0004-0000-0200-0000E2090000}"/>
    <hyperlink ref="F1747" r:id="rId2532" xr:uid="{00000000-0004-0000-0200-0000E3090000}"/>
    <hyperlink ref="F1748" r:id="rId2533" xr:uid="{00000000-0004-0000-0200-0000E4090000}"/>
    <hyperlink ref="F1749" r:id="rId2534" xr:uid="{00000000-0004-0000-0200-0000E5090000}"/>
    <hyperlink ref="F1751" r:id="rId2535" xr:uid="{00000000-0004-0000-0200-0000E6090000}"/>
    <hyperlink ref="F1752" r:id="rId2536" xr:uid="{00000000-0004-0000-0200-0000E7090000}"/>
    <hyperlink ref="G1752" r:id="rId2537" xr:uid="{00000000-0004-0000-0200-0000E8090000}"/>
    <hyperlink ref="F1753" r:id="rId2538" xr:uid="{00000000-0004-0000-0200-0000E9090000}"/>
    <hyperlink ref="F1755" r:id="rId2539" xr:uid="{00000000-0004-0000-0200-0000EA090000}"/>
    <hyperlink ref="S1755" r:id="rId2540" xr:uid="{00000000-0004-0000-0200-0000EB090000}"/>
    <hyperlink ref="F1756" r:id="rId2541" location="ns_campaign=rrss-inducido&amp;ns_mchannel=abc-es&amp;ns_source=tw&amp;ns_linkname=noticia-opinion&amp;ns_fee=0" xr:uid="{00000000-0004-0000-0200-0000EC090000}"/>
    <hyperlink ref="F1757" r:id="rId2542" xr:uid="{00000000-0004-0000-0200-0000ED090000}"/>
    <hyperlink ref="S1757" r:id="rId2543" xr:uid="{00000000-0004-0000-0200-0000EE090000}"/>
    <hyperlink ref="G1758" r:id="rId2544" xr:uid="{00000000-0004-0000-0200-0000EF090000}"/>
    <hyperlink ref="S1758" r:id="rId2545" xr:uid="{00000000-0004-0000-0200-0000F0090000}"/>
    <hyperlink ref="F1759" r:id="rId2546" location="ns_campaign=rrss-inducido&amp;ns_mchannel=abc-es&amp;ns_source=tw&amp;ns_linkname=noticia-opinion&amp;ns_fee=0" xr:uid="{00000000-0004-0000-0200-0000F1090000}"/>
    <hyperlink ref="F1760" r:id="rId2547" xr:uid="{00000000-0004-0000-0200-0000F2090000}"/>
    <hyperlink ref="F1761" r:id="rId2548" xr:uid="{00000000-0004-0000-0200-0000F3090000}"/>
    <hyperlink ref="G1762" r:id="rId2549" xr:uid="{00000000-0004-0000-0200-0000F4090000}"/>
    <hyperlink ref="F1763" r:id="rId2550" xr:uid="{00000000-0004-0000-0200-0000F5090000}"/>
    <hyperlink ref="F1764" r:id="rId2551" xr:uid="{00000000-0004-0000-0200-0000F6090000}"/>
    <hyperlink ref="S1764" r:id="rId2552" xr:uid="{00000000-0004-0000-0200-0000F7090000}"/>
    <hyperlink ref="F1765" r:id="rId2553" xr:uid="{00000000-0004-0000-0200-0000F8090000}"/>
    <hyperlink ref="S1765" r:id="rId2554" xr:uid="{00000000-0004-0000-0200-0000F9090000}"/>
    <hyperlink ref="F1766" r:id="rId2555" xr:uid="{00000000-0004-0000-0200-0000FA090000}"/>
    <hyperlink ref="S1766" r:id="rId2556" xr:uid="{00000000-0004-0000-0200-0000FB090000}"/>
    <hyperlink ref="F1767" r:id="rId2557" xr:uid="{00000000-0004-0000-0200-0000FC090000}"/>
    <hyperlink ref="S1767" r:id="rId2558" xr:uid="{00000000-0004-0000-0200-0000FD090000}"/>
    <hyperlink ref="F1768" r:id="rId2559" xr:uid="{00000000-0004-0000-0200-0000FE090000}"/>
    <hyperlink ref="F1769" r:id="rId2560" location=".W_bwVnHLbps.twitter" xr:uid="{00000000-0004-0000-0200-0000FF090000}"/>
    <hyperlink ref="F1770" r:id="rId2561" location=".W_bwO_TbbaE.twitter" xr:uid="{00000000-0004-0000-0200-0000000A0000}"/>
    <hyperlink ref="F1771" r:id="rId2562" xr:uid="{00000000-0004-0000-0200-0000010A0000}"/>
    <hyperlink ref="F1773" r:id="rId2563" location=".W_bhGjSU1Z0.facebook" xr:uid="{00000000-0004-0000-0200-0000020A0000}"/>
    <hyperlink ref="F1774" r:id="rId2564" xr:uid="{00000000-0004-0000-0200-0000030A0000}"/>
    <hyperlink ref="F1775" r:id="rId2565" xr:uid="{00000000-0004-0000-0200-0000040A0000}"/>
    <hyperlink ref="F1776" r:id="rId2566" xr:uid="{00000000-0004-0000-0200-0000050A0000}"/>
    <hyperlink ref="G1777" r:id="rId2567" xr:uid="{00000000-0004-0000-0200-0000060A0000}"/>
    <hyperlink ref="F1778" r:id="rId2568" xr:uid="{00000000-0004-0000-0200-0000070A0000}"/>
    <hyperlink ref="S1778" r:id="rId2569" xr:uid="{00000000-0004-0000-0200-0000080A0000}"/>
    <hyperlink ref="F1779" r:id="rId2570" xr:uid="{00000000-0004-0000-0200-0000090A0000}"/>
    <hyperlink ref="C1780" r:id="rId2571" xr:uid="{00000000-0004-0000-0200-00000A0A0000}"/>
    <hyperlink ref="F1780" r:id="rId2572" xr:uid="{00000000-0004-0000-0200-00000B0A0000}"/>
    <hyperlink ref="G1780" r:id="rId2573" xr:uid="{00000000-0004-0000-0200-00000C0A0000}"/>
    <hyperlink ref="S1780" r:id="rId2574" xr:uid="{00000000-0004-0000-0200-00000D0A0000}"/>
    <hyperlink ref="C1781" r:id="rId2575" xr:uid="{00000000-0004-0000-0200-00000E0A0000}"/>
    <hyperlink ref="G1781" r:id="rId2576" xr:uid="{00000000-0004-0000-0200-00000F0A0000}"/>
    <hyperlink ref="S1781" r:id="rId2577" xr:uid="{00000000-0004-0000-0200-0000100A0000}"/>
    <hyperlink ref="F1783" r:id="rId2578" xr:uid="{00000000-0004-0000-0200-0000110A0000}"/>
    <hyperlink ref="G1783" r:id="rId2579" xr:uid="{00000000-0004-0000-0200-0000120A0000}"/>
    <hyperlink ref="S1783" r:id="rId2580" xr:uid="{00000000-0004-0000-0200-0000130A0000}"/>
    <hyperlink ref="F1784" r:id="rId2581" xr:uid="{00000000-0004-0000-0200-0000140A0000}"/>
    <hyperlink ref="S1784" r:id="rId2582" xr:uid="{00000000-0004-0000-0200-0000150A0000}"/>
    <hyperlink ref="F1785" r:id="rId2583" xr:uid="{00000000-0004-0000-0200-0000160A0000}"/>
    <hyperlink ref="F1786" r:id="rId2584" xr:uid="{00000000-0004-0000-0200-0000170A0000}"/>
    <hyperlink ref="F1787" r:id="rId2585" xr:uid="{00000000-0004-0000-0200-0000180A0000}"/>
    <hyperlink ref="F1788" r:id="rId2586" xr:uid="{00000000-0004-0000-0200-0000190A0000}"/>
    <hyperlink ref="S1788" r:id="rId2587" xr:uid="{00000000-0004-0000-0200-00001A0A0000}"/>
    <hyperlink ref="F1789" r:id="rId2588" xr:uid="{00000000-0004-0000-0200-00001B0A0000}"/>
    <hyperlink ref="G1789" r:id="rId2589" xr:uid="{00000000-0004-0000-0200-00001C0A0000}"/>
    <hyperlink ref="S1789" r:id="rId2590" xr:uid="{00000000-0004-0000-0200-00001D0A0000}"/>
    <hyperlink ref="F1790" r:id="rId2591" xr:uid="{00000000-0004-0000-0200-00001E0A0000}"/>
    <hyperlink ref="F1791" r:id="rId2592" xr:uid="{00000000-0004-0000-0200-00001F0A0000}"/>
    <hyperlink ref="F1792" r:id="rId2593" location=".W_bssHPYhI8.twitter" xr:uid="{00000000-0004-0000-0200-0000200A0000}"/>
    <hyperlink ref="F1793" r:id="rId2594" xr:uid="{00000000-0004-0000-0200-0000210A0000}"/>
    <hyperlink ref="F1795" r:id="rId2595" xr:uid="{00000000-0004-0000-0200-0000220A0000}"/>
    <hyperlink ref="S1795" r:id="rId2596" xr:uid="{00000000-0004-0000-0200-0000230A0000}"/>
    <hyperlink ref="F1796" r:id="rId2597" location="ns_campaign=rrss-inducido&amp;ns_mchannel=abc-es&amp;ns_source=tw&amp;ns_linkname=noticia-opinion&amp;ns_fee=0" xr:uid="{00000000-0004-0000-0200-0000240A0000}"/>
    <hyperlink ref="F1797" r:id="rId2598" xr:uid="{00000000-0004-0000-0200-0000250A0000}"/>
    <hyperlink ref="S1797" r:id="rId2599" xr:uid="{00000000-0004-0000-0200-0000260A0000}"/>
    <hyperlink ref="F1798" r:id="rId2600" xr:uid="{00000000-0004-0000-0200-0000270A0000}"/>
    <hyperlink ref="F1799" r:id="rId2601" location=".W_brpTk1t8o.twitter" xr:uid="{00000000-0004-0000-0200-0000280A0000}"/>
    <hyperlink ref="F1800" r:id="rId2602" xr:uid="{00000000-0004-0000-0200-0000290A0000}"/>
    <hyperlink ref="G1800" r:id="rId2603" xr:uid="{00000000-0004-0000-0200-00002A0A0000}"/>
    <hyperlink ref="S1800" r:id="rId2604" xr:uid="{00000000-0004-0000-0200-00002B0A0000}"/>
    <hyperlink ref="F1801" r:id="rId2605" xr:uid="{00000000-0004-0000-0200-00002C0A0000}"/>
    <hyperlink ref="S1802" r:id="rId2606" xr:uid="{00000000-0004-0000-0200-00002D0A0000}"/>
    <hyperlink ref="G1803" r:id="rId2607" xr:uid="{00000000-0004-0000-0200-00002E0A0000}"/>
    <hyperlink ref="F1804" r:id="rId2608" xr:uid="{00000000-0004-0000-0200-00002F0A0000}"/>
    <hyperlink ref="S1804" r:id="rId2609" xr:uid="{00000000-0004-0000-0200-0000300A0000}"/>
    <hyperlink ref="S1805" r:id="rId2610" xr:uid="{00000000-0004-0000-0200-0000310A0000}"/>
    <hyperlink ref="G1807" r:id="rId2611" xr:uid="{00000000-0004-0000-0200-0000320A0000}"/>
    <hyperlink ref="F1808" r:id="rId2612" xr:uid="{00000000-0004-0000-0200-0000330A0000}"/>
    <hyperlink ref="F1810" r:id="rId2613" location=".W_bqEk7LZOA.twitter" xr:uid="{00000000-0004-0000-0200-0000340A0000}"/>
    <hyperlink ref="S1810" r:id="rId2614" xr:uid="{00000000-0004-0000-0200-0000350A0000}"/>
    <hyperlink ref="G1811" r:id="rId2615" xr:uid="{00000000-0004-0000-0200-0000360A0000}"/>
    <hyperlink ref="F1813" r:id="rId2616" xr:uid="{00000000-0004-0000-0200-0000370A0000}"/>
    <hyperlink ref="F1814" r:id="rId2617" xr:uid="{00000000-0004-0000-0200-0000380A0000}"/>
    <hyperlink ref="F1816" r:id="rId2618" xr:uid="{00000000-0004-0000-0200-0000390A0000}"/>
    <hyperlink ref="C1817" r:id="rId2619" xr:uid="{00000000-0004-0000-0200-00003A0A0000}"/>
    <hyperlink ref="F1817" r:id="rId2620" xr:uid="{00000000-0004-0000-0200-00003B0A0000}"/>
    <hyperlink ref="S1817" r:id="rId2621" xr:uid="{00000000-0004-0000-0200-00003C0A0000}"/>
    <hyperlink ref="F1818" r:id="rId2622" xr:uid="{00000000-0004-0000-0200-00003D0A0000}"/>
    <hyperlink ref="S1818" r:id="rId2623" xr:uid="{00000000-0004-0000-0200-00003E0A0000}"/>
    <hyperlink ref="F1819" r:id="rId2624" xr:uid="{00000000-0004-0000-0200-00003F0A0000}"/>
    <hyperlink ref="F1821" r:id="rId2625" xr:uid="{00000000-0004-0000-0200-0000400A0000}"/>
    <hyperlink ref="G1821" r:id="rId2626" xr:uid="{00000000-0004-0000-0200-0000410A0000}"/>
    <hyperlink ref="S1821" r:id="rId2627" xr:uid="{00000000-0004-0000-0200-0000420A0000}"/>
    <hyperlink ref="F1822" r:id="rId2628" xr:uid="{00000000-0004-0000-0200-0000430A0000}"/>
    <hyperlink ref="G1823" r:id="rId2629" xr:uid="{00000000-0004-0000-0200-0000440A0000}"/>
    <hyperlink ref="S1823" r:id="rId2630" xr:uid="{00000000-0004-0000-0200-0000450A0000}"/>
    <hyperlink ref="F1824" r:id="rId2631" xr:uid="{00000000-0004-0000-0200-0000460A0000}"/>
    <hyperlink ref="S1824" r:id="rId2632" xr:uid="{00000000-0004-0000-0200-0000470A0000}"/>
    <hyperlink ref="F1825" r:id="rId2633" xr:uid="{00000000-0004-0000-0200-0000480A0000}"/>
    <hyperlink ref="S1825" r:id="rId2634" xr:uid="{00000000-0004-0000-0200-0000490A0000}"/>
    <hyperlink ref="F1826" r:id="rId2635" xr:uid="{00000000-0004-0000-0200-00004A0A0000}"/>
    <hyperlink ref="G1827" r:id="rId2636" xr:uid="{00000000-0004-0000-0200-00004B0A0000}"/>
    <hyperlink ref="F1828" r:id="rId2637" xr:uid="{00000000-0004-0000-0200-00004C0A0000}"/>
    <hyperlink ref="F1829" r:id="rId2638" xr:uid="{00000000-0004-0000-0200-00004D0A0000}"/>
    <hyperlink ref="S1829" r:id="rId2639" xr:uid="{00000000-0004-0000-0200-00004E0A0000}"/>
    <hyperlink ref="F1830" r:id="rId2640" xr:uid="{00000000-0004-0000-0200-00004F0A0000}"/>
    <hyperlink ref="G1830" r:id="rId2641" xr:uid="{00000000-0004-0000-0200-0000500A0000}"/>
    <hyperlink ref="F1831" r:id="rId2642" xr:uid="{00000000-0004-0000-0200-0000510A0000}"/>
    <hyperlink ref="G1832" r:id="rId2643" xr:uid="{00000000-0004-0000-0200-0000520A0000}"/>
    <hyperlink ref="F1833" r:id="rId2644" xr:uid="{00000000-0004-0000-0200-0000530A0000}"/>
    <hyperlink ref="F1834" r:id="rId2645" xr:uid="{00000000-0004-0000-0200-0000540A0000}"/>
    <hyperlink ref="F1835" r:id="rId2646" xr:uid="{00000000-0004-0000-0200-0000550A0000}"/>
    <hyperlink ref="S1835" r:id="rId2647" xr:uid="{00000000-0004-0000-0200-0000560A0000}"/>
    <hyperlink ref="F1837" r:id="rId2648" xr:uid="{00000000-0004-0000-0200-0000570A0000}"/>
    <hyperlink ref="G1837" r:id="rId2649" xr:uid="{00000000-0004-0000-0200-0000580A0000}"/>
    <hyperlink ref="S1837" r:id="rId2650" xr:uid="{00000000-0004-0000-0200-0000590A0000}"/>
    <hyperlink ref="F1838" r:id="rId2651" xr:uid="{00000000-0004-0000-0200-00005A0A0000}"/>
    <hyperlink ref="S1839" r:id="rId2652" xr:uid="{00000000-0004-0000-0200-00005B0A0000}"/>
    <hyperlink ref="F1840" r:id="rId2653" xr:uid="{00000000-0004-0000-0200-00005C0A0000}"/>
    <hyperlink ref="G1841" r:id="rId2654" xr:uid="{00000000-0004-0000-0200-00005D0A0000}"/>
    <hyperlink ref="F1842" r:id="rId2655" xr:uid="{00000000-0004-0000-0200-00005E0A0000}"/>
    <hyperlink ref="S1842" r:id="rId2656" xr:uid="{00000000-0004-0000-0200-00005F0A0000}"/>
    <hyperlink ref="G1844" r:id="rId2657" xr:uid="{00000000-0004-0000-0200-0000600A0000}"/>
    <hyperlink ref="S1844" r:id="rId2658" xr:uid="{00000000-0004-0000-0200-0000610A0000}"/>
    <hyperlink ref="F1845" r:id="rId2659" xr:uid="{00000000-0004-0000-0200-0000620A0000}"/>
    <hyperlink ref="F1846" r:id="rId2660" xr:uid="{00000000-0004-0000-0200-0000630A0000}"/>
    <hyperlink ref="F1847" r:id="rId2661" xr:uid="{00000000-0004-0000-0200-0000640A0000}"/>
    <hyperlink ref="G1847" r:id="rId2662" xr:uid="{00000000-0004-0000-0200-0000650A0000}"/>
    <hyperlink ref="F1848" r:id="rId2663" xr:uid="{00000000-0004-0000-0200-0000660A0000}"/>
    <hyperlink ref="F1849" r:id="rId2664" xr:uid="{00000000-0004-0000-0200-0000670A0000}"/>
    <hyperlink ref="S1849" r:id="rId2665" xr:uid="{00000000-0004-0000-0200-0000680A0000}"/>
    <hyperlink ref="G1850" r:id="rId2666" xr:uid="{00000000-0004-0000-0200-0000690A0000}"/>
    <hyperlink ref="S1851" r:id="rId2667" xr:uid="{00000000-0004-0000-0200-00006A0A0000}"/>
    <hyperlink ref="F1852" r:id="rId2668" xr:uid="{00000000-0004-0000-0200-00006B0A0000}"/>
    <hyperlink ref="G1852" r:id="rId2669" xr:uid="{00000000-0004-0000-0200-00006C0A0000}"/>
    <hyperlink ref="S1852" r:id="rId2670" xr:uid="{00000000-0004-0000-0200-00006D0A0000}"/>
    <hyperlink ref="F1853" r:id="rId2671" xr:uid="{00000000-0004-0000-0200-00006E0A0000}"/>
    <hyperlink ref="F1855" r:id="rId2672" xr:uid="{00000000-0004-0000-0200-00006F0A0000}"/>
    <hyperlink ref="S1855" r:id="rId2673" xr:uid="{00000000-0004-0000-0200-0000700A0000}"/>
    <hyperlink ref="F1856" r:id="rId2674" location=".W_bi1ju_TIF.twitter" xr:uid="{00000000-0004-0000-0200-0000710A0000}"/>
    <hyperlink ref="F1858" r:id="rId2675" xr:uid="{00000000-0004-0000-0200-0000720A0000}"/>
    <hyperlink ref="S1858" r:id="rId2676" xr:uid="{00000000-0004-0000-0200-0000730A0000}"/>
    <hyperlink ref="F1859" r:id="rId2677" location=".W_biFe5K0jQ.twitter" xr:uid="{00000000-0004-0000-0200-0000740A0000}"/>
    <hyperlink ref="F1860" r:id="rId2678" xr:uid="{00000000-0004-0000-0200-0000750A0000}"/>
    <hyperlink ref="F1861" r:id="rId2679" xr:uid="{00000000-0004-0000-0200-0000760A0000}"/>
    <hyperlink ref="S1861" r:id="rId2680" xr:uid="{00000000-0004-0000-0200-0000770A0000}"/>
    <hyperlink ref="F1862" r:id="rId2681" xr:uid="{00000000-0004-0000-0200-0000780A0000}"/>
    <hyperlink ref="S1862" r:id="rId2682" xr:uid="{00000000-0004-0000-0200-0000790A0000}"/>
    <hyperlink ref="F1863" r:id="rId2683" xr:uid="{00000000-0004-0000-0200-00007A0A0000}"/>
    <hyperlink ref="G1864" r:id="rId2684" xr:uid="{00000000-0004-0000-0200-00007B0A0000}"/>
    <hyperlink ref="S1864" r:id="rId2685" xr:uid="{00000000-0004-0000-0200-00007C0A0000}"/>
    <hyperlink ref="F1865" r:id="rId2686" xr:uid="{00000000-0004-0000-0200-00007D0A0000}"/>
    <hyperlink ref="G1865" r:id="rId2687" xr:uid="{00000000-0004-0000-0200-00007E0A0000}"/>
    <hyperlink ref="S1865" r:id="rId2688" xr:uid="{00000000-0004-0000-0200-00007F0A0000}"/>
    <hyperlink ref="G1866" r:id="rId2689" xr:uid="{00000000-0004-0000-0200-0000800A0000}"/>
    <hyperlink ref="S1866" r:id="rId2690" xr:uid="{00000000-0004-0000-0200-0000810A0000}"/>
    <hyperlink ref="F1867" r:id="rId2691" location=".W_bhMqJFUoE.twitter" xr:uid="{00000000-0004-0000-0200-0000820A0000}"/>
    <hyperlink ref="F1868" r:id="rId2692" xr:uid="{00000000-0004-0000-0200-0000830A0000}"/>
    <hyperlink ref="F1869" r:id="rId2693" xr:uid="{00000000-0004-0000-0200-0000840A0000}"/>
    <hyperlink ref="F1870" r:id="rId2694" xr:uid="{00000000-0004-0000-0200-0000850A0000}"/>
    <hyperlink ref="S1870" r:id="rId2695" xr:uid="{00000000-0004-0000-0200-0000860A0000}"/>
    <hyperlink ref="F1871" r:id="rId2696" xr:uid="{00000000-0004-0000-0200-0000870A0000}"/>
    <hyperlink ref="F1873" r:id="rId2697" xr:uid="{00000000-0004-0000-0200-0000880A0000}"/>
    <hyperlink ref="G1873" r:id="rId2698" xr:uid="{00000000-0004-0000-0200-0000890A0000}"/>
    <hyperlink ref="S1873" r:id="rId2699" xr:uid="{00000000-0004-0000-0200-00008A0A0000}"/>
    <hyperlink ref="F1874" r:id="rId2700" xr:uid="{00000000-0004-0000-0200-00008B0A0000}"/>
    <hyperlink ref="F1875" r:id="rId2701" xr:uid="{00000000-0004-0000-0200-00008C0A0000}"/>
    <hyperlink ref="S1875" r:id="rId2702" xr:uid="{00000000-0004-0000-0200-00008D0A0000}"/>
    <hyperlink ref="C1876" r:id="rId2703" xr:uid="{00000000-0004-0000-0200-00008E0A0000}"/>
    <hyperlink ref="G1876" r:id="rId2704" xr:uid="{00000000-0004-0000-0200-00008F0A0000}"/>
    <hyperlink ref="S1876" r:id="rId2705" xr:uid="{00000000-0004-0000-0200-0000900A0000}"/>
    <hyperlink ref="C1877" r:id="rId2706" xr:uid="{00000000-0004-0000-0200-0000910A0000}"/>
    <hyperlink ref="F1877" r:id="rId2707" xr:uid="{00000000-0004-0000-0200-0000920A0000}"/>
    <hyperlink ref="S1877" r:id="rId2708" xr:uid="{00000000-0004-0000-0200-0000930A0000}"/>
    <hyperlink ref="F1878" r:id="rId2709" xr:uid="{00000000-0004-0000-0200-0000940A0000}"/>
    <hyperlink ref="S1878" r:id="rId2710" xr:uid="{00000000-0004-0000-0200-0000950A0000}"/>
    <hyperlink ref="F1879" r:id="rId2711" xr:uid="{00000000-0004-0000-0200-0000960A0000}"/>
    <hyperlink ref="S1879" r:id="rId2712" xr:uid="{00000000-0004-0000-0200-0000970A0000}"/>
    <hyperlink ref="F1881" r:id="rId2713" xr:uid="{00000000-0004-0000-0200-0000980A0000}"/>
    <hyperlink ref="G1881" r:id="rId2714" xr:uid="{00000000-0004-0000-0200-0000990A0000}"/>
    <hyperlink ref="F1882" r:id="rId2715" xr:uid="{00000000-0004-0000-0200-00009A0A0000}"/>
    <hyperlink ref="G1882" r:id="rId2716" xr:uid="{00000000-0004-0000-0200-00009B0A0000}"/>
    <hyperlink ref="F1883" r:id="rId2717" xr:uid="{00000000-0004-0000-0200-00009C0A0000}"/>
    <hyperlink ref="S1883" r:id="rId2718" xr:uid="{00000000-0004-0000-0200-00009D0A0000}"/>
    <hyperlink ref="C1884" r:id="rId2719" xr:uid="{00000000-0004-0000-0200-00009E0A0000}"/>
    <hyperlink ref="S1884" r:id="rId2720" xr:uid="{00000000-0004-0000-0200-00009F0A0000}"/>
    <hyperlink ref="F1885" r:id="rId2721" xr:uid="{00000000-0004-0000-0200-0000A00A0000}"/>
    <hyperlink ref="G1885" r:id="rId2722" xr:uid="{00000000-0004-0000-0200-0000A10A0000}"/>
    <hyperlink ref="S1885" r:id="rId2723" xr:uid="{00000000-0004-0000-0200-0000A20A0000}"/>
    <hyperlink ref="F1886" r:id="rId2724" xr:uid="{00000000-0004-0000-0200-0000A30A0000}"/>
    <hyperlink ref="F1887" r:id="rId2725" xr:uid="{00000000-0004-0000-0200-0000A40A0000}"/>
    <hyperlink ref="F1888" r:id="rId2726" xr:uid="{00000000-0004-0000-0200-0000A50A0000}"/>
    <hyperlink ref="G1888" r:id="rId2727" xr:uid="{00000000-0004-0000-0200-0000A60A0000}"/>
    <hyperlink ref="S1888" r:id="rId2728" xr:uid="{00000000-0004-0000-0200-0000A70A0000}"/>
    <hyperlink ref="F1890" r:id="rId2729" xr:uid="{00000000-0004-0000-0200-0000A80A0000}"/>
    <hyperlink ref="F1891" r:id="rId2730" xr:uid="{00000000-0004-0000-0200-0000A90A0000}"/>
    <hyperlink ref="F1892" r:id="rId2731" xr:uid="{00000000-0004-0000-0200-0000AA0A0000}"/>
    <hyperlink ref="S1892" r:id="rId2732" xr:uid="{00000000-0004-0000-0200-0000AB0A0000}"/>
    <hyperlink ref="F1893" r:id="rId2733" xr:uid="{00000000-0004-0000-0200-0000AC0A0000}"/>
    <hyperlink ref="G1893" r:id="rId2734" xr:uid="{00000000-0004-0000-0200-0000AD0A0000}"/>
    <hyperlink ref="S1893" r:id="rId2735" xr:uid="{00000000-0004-0000-0200-0000AE0A0000}"/>
    <hyperlink ref="F1894" r:id="rId2736" xr:uid="{00000000-0004-0000-0200-0000AF0A0000}"/>
    <hyperlink ref="F1895" r:id="rId2737" xr:uid="{00000000-0004-0000-0200-0000B00A0000}"/>
    <hyperlink ref="F1897" r:id="rId2738" xr:uid="{00000000-0004-0000-0200-0000B10A0000}"/>
    <hyperlink ref="F1898" r:id="rId2739" xr:uid="{00000000-0004-0000-0200-0000B20A0000}"/>
    <hyperlink ref="S1898" r:id="rId2740" xr:uid="{00000000-0004-0000-0200-0000B30A0000}"/>
    <hyperlink ref="F1899" r:id="rId2741" xr:uid="{00000000-0004-0000-0200-0000B40A0000}"/>
    <hyperlink ref="G1899" r:id="rId2742" xr:uid="{00000000-0004-0000-0200-0000B50A0000}"/>
    <hyperlink ref="S1899" r:id="rId2743" xr:uid="{00000000-0004-0000-0200-0000B60A0000}"/>
    <hyperlink ref="F1900" r:id="rId2744" xr:uid="{00000000-0004-0000-0200-0000B70A0000}"/>
    <hyperlink ref="F1901" r:id="rId2745" location="referrer=https%3A%2F%2Fwww.google.com&amp;amp_tf=De%20%251%24s&amp;ampshare=https%3A%2F%2Fokdiario.com%2Fespana%2F2018%2F11%2F21%2Fsanchez-mando-coche-oficial-vacio-valladolid-hacer-8-kms-del-aeropuerto-ciudad-3377374" xr:uid="{00000000-0004-0000-0200-0000B80A0000}"/>
    <hyperlink ref="F1902" r:id="rId2746" xr:uid="{00000000-0004-0000-0200-0000B90A0000}"/>
    <hyperlink ref="S1902" r:id="rId2747" xr:uid="{00000000-0004-0000-0200-0000BA0A0000}"/>
    <hyperlink ref="F1903" r:id="rId2748" xr:uid="{00000000-0004-0000-0200-0000BB0A0000}"/>
    <hyperlink ref="S1903" r:id="rId2749" xr:uid="{00000000-0004-0000-0200-0000BC0A0000}"/>
    <hyperlink ref="S1904" r:id="rId2750" xr:uid="{00000000-0004-0000-0200-0000BD0A0000}"/>
    <hyperlink ref="F1905" r:id="rId2751" xr:uid="{00000000-0004-0000-0200-0000BE0A0000}"/>
    <hyperlink ref="S1905" r:id="rId2752" xr:uid="{00000000-0004-0000-0200-0000BF0A0000}"/>
    <hyperlink ref="F1906" r:id="rId2753" xr:uid="{00000000-0004-0000-0200-0000C00A0000}"/>
    <hyperlink ref="S1906" r:id="rId2754" xr:uid="{00000000-0004-0000-0200-0000C10A0000}"/>
    <hyperlink ref="F1907" r:id="rId2755" xr:uid="{00000000-0004-0000-0200-0000C20A0000}"/>
    <hyperlink ref="G1907" r:id="rId2756" xr:uid="{00000000-0004-0000-0200-0000C30A0000}"/>
    <hyperlink ref="G1908" r:id="rId2757" xr:uid="{00000000-0004-0000-0200-0000C40A0000}"/>
    <hyperlink ref="S1908" r:id="rId2758" xr:uid="{00000000-0004-0000-0200-0000C50A0000}"/>
    <hyperlink ref="F1909" r:id="rId2759" xr:uid="{00000000-0004-0000-0200-0000C60A0000}"/>
    <hyperlink ref="S1910" r:id="rId2760" xr:uid="{00000000-0004-0000-0200-0000C70A0000}"/>
    <hyperlink ref="F1911" r:id="rId2761" xr:uid="{00000000-0004-0000-0200-0000C80A0000}"/>
    <hyperlink ref="G1911" r:id="rId2762" xr:uid="{00000000-0004-0000-0200-0000C90A0000}"/>
    <hyperlink ref="S1911" r:id="rId2763" xr:uid="{00000000-0004-0000-0200-0000CA0A0000}"/>
    <hyperlink ref="F1912" r:id="rId2764" xr:uid="{00000000-0004-0000-0200-0000CB0A0000}"/>
    <hyperlink ref="G1912" r:id="rId2765" xr:uid="{00000000-0004-0000-0200-0000CC0A0000}"/>
    <hyperlink ref="S1912" r:id="rId2766" xr:uid="{00000000-0004-0000-0200-0000CD0A0000}"/>
    <hyperlink ref="F1914" r:id="rId2767" xr:uid="{00000000-0004-0000-0200-0000CE0A0000}"/>
    <hyperlink ref="F1915" r:id="rId2768" location=".W_ba7puB8NE.twitter" xr:uid="{00000000-0004-0000-0200-0000CF0A0000}"/>
    <hyperlink ref="F1916" r:id="rId2769" xr:uid="{00000000-0004-0000-0200-0000D00A0000}"/>
    <hyperlink ref="F1917" r:id="rId2770" xr:uid="{00000000-0004-0000-0200-0000D10A0000}"/>
    <hyperlink ref="F1918" r:id="rId2771" xr:uid="{00000000-0004-0000-0200-0000D20A0000}"/>
    <hyperlink ref="F1919" r:id="rId2772" xr:uid="{00000000-0004-0000-0200-0000D30A0000}"/>
    <hyperlink ref="F1920" r:id="rId2773" xr:uid="{00000000-0004-0000-0200-0000D40A0000}"/>
    <hyperlink ref="F1921" r:id="rId2774" xr:uid="{00000000-0004-0000-0200-0000D50A0000}"/>
    <hyperlink ref="F1922" r:id="rId2775" xr:uid="{00000000-0004-0000-0200-0000D60A0000}"/>
    <hyperlink ref="S1922" r:id="rId2776" xr:uid="{00000000-0004-0000-0200-0000D70A0000}"/>
    <hyperlink ref="S1923" r:id="rId2777" xr:uid="{00000000-0004-0000-0200-0000D80A0000}"/>
    <hyperlink ref="F1924" r:id="rId2778" xr:uid="{00000000-0004-0000-0200-0000D90A0000}"/>
    <hyperlink ref="F1925" r:id="rId2779" location=".W_baQjt3ckI.twitter" xr:uid="{00000000-0004-0000-0200-0000DA0A0000}"/>
    <hyperlink ref="C1926" r:id="rId2780" xr:uid="{00000000-0004-0000-0200-0000DB0A0000}"/>
    <hyperlink ref="F1926" r:id="rId2781" xr:uid="{00000000-0004-0000-0200-0000DC0A0000}"/>
    <hyperlink ref="S1926" r:id="rId2782" xr:uid="{00000000-0004-0000-0200-0000DD0A0000}"/>
    <hyperlink ref="S1927" r:id="rId2783" xr:uid="{00000000-0004-0000-0200-0000DE0A0000}"/>
    <hyperlink ref="F1928" r:id="rId2784" xr:uid="{00000000-0004-0000-0200-0000DF0A0000}"/>
    <hyperlink ref="S1928" r:id="rId2785" xr:uid="{00000000-0004-0000-0200-0000E00A0000}"/>
    <hyperlink ref="F1929" r:id="rId2786" xr:uid="{00000000-0004-0000-0200-0000E10A0000}"/>
    <hyperlink ref="F1930" r:id="rId2787" xr:uid="{00000000-0004-0000-0200-0000E20A0000}"/>
    <hyperlink ref="S1930" r:id="rId2788" xr:uid="{00000000-0004-0000-0200-0000E30A0000}"/>
    <hyperlink ref="C1931" r:id="rId2789" xr:uid="{00000000-0004-0000-0200-0000E40A0000}"/>
    <hyperlink ref="G1931" r:id="rId2790" xr:uid="{00000000-0004-0000-0200-0000E50A0000}"/>
    <hyperlink ref="S1931" r:id="rId2791" xr:uid="{00000000-0004-0000-0200-0000E60A0000}"/>
    <hyperlink ref="F1932" r:id="rId2792" xr:uid="{00000000-0004-0000-0200-0000E70A0000}"/>
    <hyperlink ref="F1933" r:id="rId2793" xr:uid="{00000000-0004-0000-0200-0000E80A0000}"/>
    <hyperlink ref="S1933" r:id="rId2794" xr:uid="{00000000-0004-0000-0200-0000E90A0000}"/>
    <hyperlink ref="F1934" r:id="rId2795" xr:uid="{00000000-0004-0000-0200-0000EA0A0000}"/>
    <hyperlink ref="F1936" r:id="rId2796" xr:uid="{00000000-0004-0000-0200-0000EB0A0000}"/>
    <hyperlink ref="S1936" r:id="rId2797" xr:uid="{00000000-0004-0000-0200-0000EC0A0000}"/>
    <hyperlink ref="F1937" r:id="rId2798" xr:uid="{00000000-0004-0000-0200-0000ED0A0000}"/>
    <hyperlink ref="G1937" r:id="rId2799" xr:uid="{00000000-0004-0000-0200-0000EE0A0000}"/>
    <hyperlink ref="S1937" r:id="rId2800" xr:uid="{00000000-0004-0000-0200-0000EF0A0000}"/>
    <hyperlink ref="F1938" r:id="rId2801" xr:uid="{00000000-0004-0000-0200-0000F00A0000}"/>
    <hyperlink ref="G1938" r:id="rId2802" xr:uid="{00000000-0004-0000-0200-0000F10A0000}"/>
    <hyperlink ref="S1938" r:id="rId2803" xr:uid="{00000000-0004-0000-0200-0000F20A0000}"/>
    <hyperlink ref="F1939" r:id="rId2804" xr:uid="{00000000-0004-0000-0200-0000F30A0000}"/>
    <hyperlink ref="G1939" r:id="rId2805" xr:uid="{00000000-0004-0000-0200-0000F40A0000}"/>
    <hyperlink ref="F1940" r:id="rId2806" xr:uid="{00000000-0004-0000-0200-0000F50A0000}"/>
    <hyperlink ref="S1941" r:id="rId2807" xr:uid="{00000000-0004-0000-0200-0000F60A0000}"/>
    <hyperlink ref="F1942" r:id="rId2808" xr:uid="{00000000-0004-0000-0200-0000F70A0000}"/>
    <hyperlink ref="S1942" r:id="rId2809" xr:uid="{00000000-0004-0000-0200-0000F80A0000}"/>
    <hyperlink ref="F1943" r:id="rId2810" xr:uid="{00000000-0004-0000-0200-0000F90A0000}"/>
    <hyperlink ref="G1943" r:id="rId2811" xr:uid="{00000000-0004-0000-0200-0000FA0A0000}"/>
    <hyperlink ref="S1943" r:id="rId2812" xr:uid="{00000000-0004-0000-0200-0000FB0A0000}"/>
    <hyperlink ref="F1944" r:id="rId2813" xr:uid="{00000000-0004-0000-0200-0000FC0A0000}"/>
    <hyperlink ref="G1944" r:id="rId2814" xr:uid="{00000000-0004-0000-0200-0000FD0A0000}"/>
    <hyperlink ref="F1945" r:id="rId2815" xr:uid="{00000000-0004-0000-0200-0000FE0A0000}"/>
    <hyperlink ref="S1945" r:id="rId2816" xr:uid="{00000000-0004-0000-0200-0000FF0A0000}"/>
    <hyperlink ref="F1946" r:id="rId2817" xr:uid="{00000000-0004-0000-0200-0000000B0000}"/>
    <hyperlink ref="F1947" r:id="rId2818" xr:uid="{00000000-0004-0000-0200-0000010B0000}"/>
    <hyperlink ref="G1947" r:id="rId2819" xr:uid="{00000000-0004-0000-0200-0000020B0000}"/>
    <hyperlink ref="S1947" r:id="rId2820" xr:uid="{00000000-0004-0000-0200-0000030B0000}"/>
    <hyperlink ref="F1948" r:id="rId2821" xr:uid="{00000000-0004-0000-0200-0000040B0000}"/>
    <hyperlink ref="S1948" r:id="rId2822" xr:uid="{00000000-0004-0000-0200-0000050B0000}"/>
    <hyperlink ref="F1949" r:id="rId2823" xr:uid="{00000000-0004-0000-0200-0000060B0000}"/>
    <hyperlink ref="S1949" r:id="rId2824" xr:uid="{00000000-0004-0000-0200-0000070B0000}"/>
    <hyperlink ref="F1950" r:id="rId2825" xr:uid="{00000000-0004-0000-0200-0000080B0000}"/>
    <hyperlink ref="S1950" r:id="rId2826" xr:uid="{00000000-0004-0000-0200-0000090B0000}"/>
    <hyperlink ref="F1951" r:id="rId2827" xr:uid="{00000000-0004-0000-0200-00000A0B0000}"/>
    <hyperlink ref="S1951" r:id="rId2828" xr:uid="{00000000-0004-0000-0200-00000B0B0000}"/>
    <hyperlink ref="F1952" r:id="rId2829" xr:uid="{00000000-0004-0000-0200-00000C0B0000}"/>
    <hyperlink ref="F1953" r:id="rId2830" xr:uid="{00000000-0004-0000-0200-00000D0B0000}"/>
    <hyperlink ref="S1953" r:id="rId2831" xr:uid="{00000000-0004-0000-0200-00000E0B0000}"/>
    <hyperlink ref="F1954" r:id="rId2832" xr:uid="{00000000-0004-0000-0200-00000F0B0000}"/>
    <hyperlink ref="G1954" r:id="rId2833" xr:uid="{00000000-0004-0000-0200-0000100B0000}"/>
    <hyperlink ref="S1954" r:id="rId2834" xr:uid="{00000000-0004-0000-0200-0000110B0000}"/>
    <hyperlink ref="F1955" r:id="rId2835" xr:uid="{00000000-0004-0000-0200-0000120B0000}"/>
    <hyperlink ref="S1955" r:id="rId2836" xr:uid="{00000000-0004-0000-0200-0000130B0000}"/>
    <hyperlink ref="F1956" r:id="rId2837" xr:uid="{00000000-0004-0000-0200-0000140B0000}"/>
    <hyperlink ref="S1956" r:id="rId2838" xr:uid="{00000000-0004-0000-0200-0000150B0000}"/>
    <hyperlink ref="F1957" r:id="rId2839" xr:uid="{00000000-0004-0000-0200-0000160B0000}"/>
    <hyperlink ref="F1958" r:id="rId2840" xr:uid="{00000000-0004-0000-0200-0000170B0000}"/>
    <hyperlink ref="S1958" r:id="rId2841" xr:uid="{00000000-0004-0000-0200-0000180B0000}"/>
    <hyperlink ref="G1959" r:id="rId2842" xr:uid="{00000000-0004-0000-0200-0000190B0000}"/>
    <hyperlink ref="S1959" r:id="rId2843" xr:uid="{00000000-0004-0000-0200-00001A0B0000}"/>
    <hyperlink ref="G1960" r:id="rId2844" xr:uid="{00000000-0004-0000-0200-00001B0B0000}"/>
    <hyperlink ref="S1961" r:id="rId2845" xr:uid="{00000000-0004-0000-0200-00001C0B0000}"/>
    <hyperlink ref="F1962" r:id="rId2846" xr:uid="{00000000-0004-0000-0200-00001D0B0000}"/>
    <hyperlink ref="F1963" r:id="rId2847" xr:uid="{00000000-0004-0000-0200-00001E0B0000}"/>
    <hyperlink ref="S1963" r:id="rId2848" xr:uid="{00000000-0004-0000-0200-00001F0B0000}"/>
    <hyperlink ref="F1964" r:id="rId2849" location="ns_campaign=rrss-inducido&amp;ns_mchannel=abc-es&amp;ns_source=tw&amp;ns_linkname=noticia-foto&amp;ns_fee=0" xr:uid="{00000000-0004-0000-0200-0000200B0000}"/>
    <hyperlink ref="F1965" r:id="rId2850" xr:uid="{00000000-0004-0000-0200-0000210B0000}"/>
    <hyperlink ref="F1966" r:id="rId2851" xr:uid="{00000000-0004-0000-0200-0000220B0000}"/>
    <hyperlink ref="G1966" r:id="rId2852" xr:uid="{00000000-0004-0000-0200-0000230B0000}"/>
    <hyperlink ref="S1966" r:id="rId2853" xr:uid="{00000000-0004-0000-0200-0000240B0000}"/>
    <hyperlink ref="F1967" r:id="rId2854" xr:uid="{00000000-0004-0000-0200-0000250B0000}"/>
    <hyperlink ref="S1968" r:id="rId2855" xr:uid="{00000000-0004-0000-0200-0000260B0000}"/>
    <hyperlink ref="F1969" r:id="rId2856" xr:uid="{00000000-0004-0000-0200-0000270B0000}"/>
    <hyperlink ref="C1970" r:id="rId2857" xr:uid="{00000000-0004-0000-0200-0000280B0000}"/>
    <hyperlink ref="F1970" r:id="rId2858" xr:uid="{00000000-0004-0000-0200-0000290B0000}"/>
    <hyperlink ref="S1970" r:id="rId2859" xr:uid="{00000000-0004-0000-0200-00002A0B0000}"/>
    <hyperlink ref="F1971" r:id="rId2860" xr:uid="{00000000-0004-0000-0200-00002B0B0000}"/>
    <hyperlink ref="F1972" r:id="rId2861" xr:uid="{00000000-0004-0000-0200-00002C0B0000}"/>
    <hyperlink ref="S1972" r:id="rId2862" xr:uid="{00000000-0004-0000-0200-00002D0B0000}"/>
    <hyperlink ref="G1973" r:id="rId2863" xr:uid="{00000000-0004-0000-0200-00002E0B0000}"/>
    <hyperlink ref="F1974" r:id="rId2864" xr:uid="{00000000-0004-0000-0200-00002F0B0000}"/>
    <hyperlink ref="S1974" r:id="rId2865" xr:uid="{00000000-0004-0000-0200-0000300B0000}"/>
    <hyperlink ref="F1975" r:id="rId2866" xr:uid="{00000000-0004-0000-0200-0000310B0000}"/>
    <hyperlink ref="S1975" r:id="rId2867" xr:uid="{00000000-0004-0000-0200-0000320B0000}"/>
    <hyperlink ref="F1976" r:id="rId2868" xr:uid="{00000000-0004-0000-0200-0000330B0000}"/>
    <hyperlink ref="G1976" r:id="rId2869" xr:uid="{00000000-0004-0000-0200-0000340B0000}"/>
    <hyperlink ref="F1977" r:id="rId2870" xr:uid="{00000000-0004-0000-0200-0000350B0000}"/>
    <hyperlink ref="S1977" r:id="rId2871" xr:uid="{00000000-0004-0000-0200-0000360B0000}"/>
    <hyperlink ref="F1978" r:id="rId2872" xr:uid="{00000000-0004-0000-0200-0000370B0000}"/>
    <hyperlink ref="S1978" r:id="rId2873" xr:uid="{00000000-0004-0000-0200-0000380B0000}"/>
    <hyperlink ref="F1979" r:id="rId2874" xr:uid="{00000000-0004-0000-0200-0000390B0000}"/>
    <hyperlink ref="F1980" r:id="rId2875" xr:uid="{00000000-0004-0000-0200-00003A0B0000}"/>
    <hyperlink ref="F1981" r:id="rId2876" xr:uid="{00000000-0004-0000-0200-00003B0B0000}"/>
    <hyperlink ref="S1981" r:id="rId2877" xr:uid="{00000000-0004-0000-0200-00003C0B0000}"/>
    <hyperlink ref="F1982" r:id="rId2878" xr:uid="{00000000-0004-0000-0200-00003D0B0000}"/>
    <hyperlink ref="G1982" r:id="rId2879" xr:uid="{00000000-0004-0000-0200-00003E0B0000}"/>
    <hyperlink ref="S1982" r:id="rId2880" xr:uid="{00000000-0004-0000-0200-00003F0B0000}"/>
    <hyperlink ref="F1983" r:id="rId2881" xr:uid="{00000000-0004-0000-0200-0000400B0000}"/>
    <hyperlink ref="F1984" r:id="rId2882" xr:uid="{00000000-0004-0000-0200-0000410B0000}"/>
    <hyperlink ref="S1984" r:id="rId2883" xr:uid="{00000000-0004-0000-0200-0000420B0000}"/>
    <hyperlink ref="F1985" r:id="rId2884" xr:uid="{00000000-0004-0000-0200-0000430B0000}"/>
    <hyperlink ref="C1986" r:id="rId2885" xr:uid="{00000000-0004-0000-0200-0000440B0000}"/>
    <hyperlink ref="F1986" r:id="rId2886" xr:uid="{00000000-0004-0000-0200-0000450B0000}"/>
    <hyperlink ref="S1986" r:id="rId2887" xr:uid="{00000000-0004-0000-0200-0000460B0000}"/>
    <hyperlink ref="G1987" r:id="rId2888" xr:uid="{00000000-0004-0000-0200-0000470B0000}"/>
    <hyperlink ref="F1988" r:id="rId2889" xr:uid="{00000000-0004-0000-0200-0000480B0000}"/>
    <hyperlink ref="F1989" r:id="rId2890" xr:uid="{00000000-0004-0000-0200-0000490B0000}"/>
    <hyperlink ref="G1989" r:id="rId2891" xr:uid="{00000000-0004-0000-0200-00004A0B0000}"/>
    <hyperlink ref="S1989" r:id="rId2892" xr:uid="{00000000-0004-0000-0200-00004B0B0000}"/>
    <hyperlink ref="F1990" r:id="rId2893" xr:uid="{00000000-0004-0000-0200-00004C0B0000}"/>
    <hyperlink ref="F1991" r:id="rId2894" location="ns_campaign=rrss-inducido&amp;ns_mchannel=abc-es&amp;ns_source=tw&amp;ns_linkname=noticia-foto&amp;ns_fee=0" xr:uid="{00000000-0004-0000-0200-00004D0B0000}"/>
    <hyperlink ref="S1991" r:id="rId2895" xr:uid="{00000000-0004-0000-0200-00004E0B0000}"/>
    <hyperlink ref="F1992" r:id="rId2896" xr:uid="{00000000-0004-0000-0200-00004F0B0000}"/>
    <hyperlink ref="F1993" r:id="rId2897" xr:uid="{00000000-0004-0000-0200-0000500B0000}"/>
    <hyperlink ref="F1994" r:id="rId2898" xr:uid="{00000000-0004-0000-0200-0000510B0000}"/>
    <hyperlink ref="F1995" r:id="rId2899" xr:uid="{00000000-0004-0000-0200-0000520B0000}"/>
    <hyperlink ref="F1996" r:id="rId2900" xr:uid="{00000000-0004-0000-0200-0000530B0000}"/>
    <hyperlink ref="F1997" r:id="rId2901" xr:uid="{00000000-0004-0000-0200-0000540B0000}"/>
    <hyperlink ref="S1997" r:id="rId2902" xr:uid="{00000000-0004-0000-0200-0000550B0000}"/>
    <hyperlink ref="G1998" r:id="rId2903" xr:uid="{00000000-0004-0000-0200-0000560B0000}"/>
    <hyperlink ref="S1998" r:id="rId2904" xr:uid="{00000000-0004-0000-0200-0000570B0000}"/>
    <hyperlink ref="S1999" r:id="rId2905" xr:uid="{00000000-0004-0000-0200-0000580B0000}"/>
    <hyperlink ref="F2000" r:id="rId2906" xr:uid="{00000000-0004-0000-0200-0000590B0000}"/>
    <hyperlink ref="F2001" r:id="rId2907" xr:uid="{00000000-0004-0000-0200-00005A0B0000}"/>
    <hyperlink ref="F2002" r:id="rId2908" xr:uid="{00000000-0004-0000-0200-00005B0B0000}"/>
    <hyperlink ref="S2002" r:id="rId2909" xr:uid="{00000000-0004-0000-0200-00005C0B0000}"/>
    <hyperlink ref="F2003" r:id="rId2910" xr:uid="{00000000-0004-0000-0200-00005D0B0000}"/>
    <hyperlink ref="F2004" r:id="rId2911" xr:uid="{00000000-0004-0000-0200-00005E0B0000}"/>
    <hyperlink ref="S2004" r:id="rId2912" xr:uid="{00000000-0004-0000-0200-00005F0B0000}"/>
    <hyperlink ref="F2005" r:id="rId2913" xr:uid="{00000000-0004-0000-0200-0000600B0000}"/>
    <hyperlink ref="S2005" r:id="rId2914" xr:uid="{00000000-0004-0000-0200-0000610B0000}"/>
    <hyperlink ref="C2006" r:id="rId2915" xr:uid="{00000000-0004-0000-0200-0000620B0000}"/>
    <hyperlink ref="F2006" r:id="rId2916" xr:uid="{00000000-0004-0000-0200-0000630B0000}"/>
    <hyperlink ref="S2006" r:id="rId2917" xr:uid="{00000000-0004-0000-0200-0000640B0000}"/>
    <hyperlink ref="F2007" r:id="rId2918" xr:uid="{00000000-0004-0000-0200-0000650B0000}"/>
    <hyperlink ref="S2007" r:id="rId2919" xr:uid="{00000000-0004-0000-0200-0000660B0000}"/>
    <hyperlink ref="F2008" r:id="rId2920" xr:uid="{00000000-0004-0000-0200-0000670B0000}"/>
    <hyperlink ref="F2009" r:id="rId2921" xr:uid="{00000000-0004-0000-0200-0000680B0000}"/>
    <hyperlink ref="F2010" r:id="rId2922" xr:uid="{00000000-0004-0000-0200-0000690B0000}"/>
    <hyperlink ref="S2010" r:id="rId2923" xr:uid="{00000000-0004-0000-0200-00006A0B0000}"/>
    <hyperlink ref="F2011" r:id="rId2924" xr:uid="{00000000-0004-0000-0200-00006B0B0000}"/>
    <hyperlink ref="G2012" r:id="rId2925" xr:uid="{00000000-0004-0000-0200-00006C0B0000}"/>
    <hyperlink ref="S2012" r:id="rId2926" xr:uid="{00000000-0004-0000-0200-00006D0B0000}"/>
    <hyperlink ref="F2013" r:id="rId2927" xr:uid="{00000000-0004-0000-0200-00006E0B0000}"/>
    <hyperlink ref="F2014" r:id="rId2928" xr:uid="{00000000-0004-0000-0200-00006F0B0000}"/>
    <hyperlink ref="F2015" r:id="rId2929" xr:uid="{00000000-0004-0000-0200-0000700B0000}"/>
    <hyperlink ref="S2015" r:id="rId2930" xr:uid="{00000000-0004-0000-0200-0000710B0000}"/>
    <hyperlink ref="F2016" r:id="rId2931" xr:uid="{00000000-0004-0000-0200-0000720B0000}"/>
    <hyperlink ref="S2016" r:id="rId2932" xr:uid="{00000000-0004-0000-0200-0000730B0000}"/>
    <hyperlink ref="G2017" r:id="rId2933" xr:uid="{00000000-0004-0000-0200-0000740B0000}"/>
    <hyperlink ref="F2018" r:id="rId2934" xr:uid="{00000000-0004-0000-0200-0000750B0000}"/>
    <hyperlink ref="S2018" r:id="rId2935" xr:uid="{00000000-0004-0000-0200-0000760B0000}"/>
    <hyperlink ref="G2019" r:id="rId2936" xr:uid="{00000000-0004-0000-0200-0000770B0000}"/>
    <hyperlink ref="F2020" r:id="rId2937" location=".W_bMyIH1zXR.facebook" xr:uid="{00000000-0004-0000-0200-0000780B0000}"/>
    <hyperlink ref="S2020" r:id="rId2938" xr:uid="{00000000-0004-0000-0200-0000790B0000}"/>
    <hyperlink ref="F2021" r:id="rId2939" xr:uid="{00000000-0004-0000-0200-00007A0B0000}"/>
    <hyperlink ref="S2021" r:id="rId2940" xr:uid="{00000000-0004-0000-0200-00007B0B0000}"/>
    <hyperlink ref="C2022" r:id="rId2941" xr:uid="{00000000-0004-0000-0200-00007C0B0000}"/>
    <hyperlink ref="F2022" r:id="rId2942" xr:uid="{00000000-0004-0000-0200-00007D0B0000}"/>
    <hyperlink ref="G2022" r:id="rId2943" xr:uid="{00000000-0004-0000-0200-00007E0B0000}"/>
    <hyperlink ref="S2022" r:id="rId2944" xr:uid="{00000000-0004-0000-0200-00007F0B0000}"/>
    <hyperlink ref="F2023" r:id="rId2945" xr:uid="{00000000-0004-0000-0200-0000800B0000}"/>
    <hyperlink ref="F2024" r:id="rId2946" xr:uid="{00000000-0004-0000-0200-0000810B0000}"/>
    <hyperlink ref="S2024" r:id="rId2947" xr:uid="{00000000-0004-0000-0200-0000820B0000}"/>
    <hyperlink ref="F2025" r:id="rId2948" xr:uid="{00000000-0004-0000-0200-0000830B0000}"/>
    <hyperlink ref="S2025" r:id="rId2949" xr:uid="{00000000-0004-0000-0200-0000840B0000}"/>
    <hyperlink ref="F2026" r:id="rId2950" xr:uid="{00000000-0004-0000-0200-0000850B0000}"/>
    <hyperlink ref="S2026" r:id="rId2951" xr:uid="{00000000-0004-0000-0200-0000860B0000}"/>
    <hyperlink ref="F2027" r:id="rId2952" xr:uid="{00000000-0004-0000-0200-0000870B0000}"/>
    <hyperlink ref="F2028" r:id="rId2953" xr:uid="{00000000-0004-0000-0200-0000880B0000}"/>
    <hyperlink ref="F2029" r:id="rId2954" xr:uid="{00000000-0004-0000-0200-0000890B0000}"/>
    <hyperlink ref="G2029" r:id="rId2955" xr:uid="{00000000-0004-0000-0200-00008A0B0000}"/>
    <hyperlink ref="F2030" r:id="rId2956" xr:uid="{00000000-0004-0000-0200-00008B0B0000}"/>
    <hyperlink ref="F2032" r:id="rId2957" xr:uid="{00000000-0004-0000-0200-00008C0B0000}"/>
    <hyperlink ref="F2034" r:id="rId2958" xr:uid="{00000000-0004-0000-0200-00008D0B0000}"/>
    <hyperlink ref="F2036" r:id="rId2959" location=".W_bLnwAfVjC.twitter" xr:uid="{00000000-0004-0000-0200-00008E0B0000}"/>
    <hyperlink ref="F2037" r:id="rId2960" xr:uid="{00000000-0004-0000-0200-00008F0B0000}"/>
    <hyperlink ref="S2037" r:id="rId2961" xr:uid="{00000000-0004-0000-0200-0000900B0000}"/>
    <hyperlink ref="F2038" r:id="rId2962" xr:uid="{00000000-0004-0000-0200-0000910B0000}"/>
    <hyperlink ref="S2038" r:id="rId2963" xr:uid="{00000000-0004-0000-0200-0000920B0000}"/>
    <hyperlink ref="C2039" r:id="rId2964" xr:uid="{00000000-0004-0000-0200-0000930B0000}"/>
    <hyperlink ref="S2039" r:id="rId2965" xr:uid="{00000000-0004-0000-0200-0000940B0000}"/>
    <hyperlink ref="F2040" r:id="rId2966" xr:uid="{00000000-0004-0000-0200-0000950B0000}"/>
    <hyperlink ref="S2040" r:id="rId2967" xr:uid="{00000000-0004-0000-0200-0000960B0000}"/>
    <hyperlink ref="F2041" r:id="rId2968" xr:uid="{00000000-0004-0000-0200-0000970B0000}"/>
    <hyperlink ref="F2043" r:id="rId2969" xr:uid="{00000000-0004-0000-0200-0000980B0000}"/>
    <hyperlink ref="G2044" r:id="rId2970" xr:uid="{00000000-0004-0000-0200-0000990B0000}"/>
    <hyperlink ref="S2044" r:id="rId2971" xr:uid="{00000000-0004-0000-0200-00009A0B0000}"/>
    <hyperlink ref="F2045" r:id="rId2972" xr:uid="{00000000-0004-0000-0200-00009B0B0000}"/>
    <hyperlink ref="F2046" r:id="rId2973" xr:uid="{00000000-0004-0000-0200-00009C0B0000}"/>
    <hyperlink ref="G2046" r:id="rId2974" xr:uid="{00000000-0004-0000-0200-00009D0B0000}"/>
    <hyperlink ref="F2049" r:id="rId2975" xr:uid="{00000000-0004-0000-0200-00009E0B0000}"/>
    <hyperlink ref="G2049" r:id="rId2976" xr:uid="{00000000-0004-0000-0200-00009F0B0000}"/>
    <hyperlink ref="S2049" r:id="rId2977" xr:uid="{00000000-0004-0000-0200-0000A00B0000}"/>
    <hyperlink ref="F2050" r:id="rId2978" xr:uid="{00000000-0004-0000-0200-0000A10B0000}"/>
    <hyperlink ref="G2050" r:id="rId2979" xr:uid="{00000000-0004-0000-0200-0000A20B0000}"/>
    <hyperlink ref="S2050" r:id="rId2980" xr:uid="{00000000-0004-0000-0200-0000A30B0000}"/>
    <hyperlink ref="F2051" r:id="rId2981" xr:uid="{00000000-0004-0000-0200-0000A40B0000}"/>
    <hyperlink ref="G2051" r:id="rId2982" xr:uid="{00000000-0004-0000-0200-0000A50B0000}"/>
    <hyperlink ref="S2051" r:id="rId2983" xr:uid="{00000000-0004-0000-0200-0000A60B0000}"/>
    <hyperlink ref="F2052" r:id="rId2984" xr:uid="{00000000-0004-0000-0200-0000A70B0000}"/>
    <hyperlink ref="S2052" r:id="rId2985" xr:uid="{00000000-0004-0000-0200-0000A80B0000}"/>
    <hyperlink ref="F2053" r:id="rId2986" xr:uid="{00000000-0004-0000-0200-0000A90B0000}"/>
    <hyperlink ref="F2054" r:id="rId2987" xr:uid="{00000000-0004-0000-0200-0000AA0B0000}"/>
    <hyperlink ref="F2055" r:id="rId2988" xr:uid="{00000000-0004-0000-0200-0000AB0B0000}"/>
    <hyperlink ref="G2055" r:id="rId2989" xr:uid="{00000000-0004-0000-0200-0000AC0B0000}"/>
    <hyperlink ref="F2056" r:id="rId2990" xr:uid="{00000000-0004-0000-0200-0000AD0B0000}"/>
    <hyperlink ref="S2056" r:id="rId2991" xr:uid="{00000000-0004-0000-0200-0000AE0B0000}"/>
    <hyperlink ref="F2057" r:id="rId2992" xr:uid="{00000000-0004-0000-0200-0000AF0B0000}"/>
    <hyperlink ref="F2058" r:id="rId2993" xr:uid="{00000000-0004-0000-0200-0000B00B0000}"/>
    <hyperlink ref="G2059" r:id="rId2994" xr:uid="{00000000-0004-0000-0200-0000B10B0000}"/>
    <hyperlink ref="S2059" r:id="rId2995" xr:uid="{00000000-0004-0000-0200-0000B20B0000}"/>
    <hyperlink ref="G2060" r:id="rId2996" xr:uid="{00000000-0004-0000-0200-0000B30B0000}"/>
    <hyperlink ref="S2060" r:id="rId2997" xr:uid="{00000000-0004-0000-0200-0000B40B0000}"/>
    <hyperlink ref="F2061" r:id="rId2998" xr:uid="{00000000-0004-0000-0200-0000B50B0000}"/>
    <hyperlink ref="S2061" r:id="rId2999" xr:uid="{00000000-0004-0000-0200-0000B60B0000}"/>
    <hyperlink ref="G2062" r:id="rId3000" xr:uid="{00000000-0004-0000-0200-0000B70B0000}"/>
    <hyperlink ref="S2062" r:id="rId3001" xr:uid="{00000000-0004-0000-0200-0000B80B0000}"/>
    <hyperlink ref="F2064" r:id="rId3002" xr:uid="{00000000-0004-0000-0200-0000B90B0000}"/>
    <hyperlink ref="S2064" r:id="rId3003" xr:uid="{00000000-0004-0000-0200-0000BA0B0000}"/>
    <hyperlink ref="F2065" r:id="rId3004" location=".W_bIGIIIQbQ.twitter" xr:uid="{00000000-0004-0000-0200-0000BB0B0000}"/>
    <hyperlink ref="F2066" r:id="rId3005" xr:uid="{00000000-0004-0000-0200-0000BC0B0000}"/>
    <hyperlink ref="G2066" r:id="rId3006" xr:uid="{00000000-0004-0000-0200-0000BD0B0000}"/>
    <hyperlink ref="S2066" r:id="rId3007" xr:uid="{00000000-0004-0000-0200-0000BE0B0000}"/>
    <hyperlink ref="F2067" r:id="rId3008" xr:uid="{00000000-0004-0000-0200-0000BF0B0000}"/>
    <hyperlink ref="S2067" r:id="rId3009" xr:uid="{00000000-0004-0000-0200-0000C00B0000}"/>
    <hyperlink ref="G2068" r:id="rId3010" xr:uid="{00000000-0004-0000-0200-0000C10B0000}"/>
    <hyperlink ref="S2068" r:id="rId3011" xr:uid="{00000000-0004-0000-0200-0000C20B0000}"/>
    <hyperlink ref="F2069" r:id="rId3012" xr:uid="{00000000-0004-0000-0200-0000C30B0000}"/>
    <hyperlink ref="S2069" r:id="rId3013" xr:uid="{00000000-0004-0000-0200-0000C40B0000}"/>
    <hyperlink ref="F2070" r:id="rId3014" xr:uid="{00000000-0004-0000-0200-0000C50B0000}"/>
    <hyperlink ref="F2071" r:id="rId3015" xr:uid="{00000000-0004-0000-0200-0000C60B0000}"/>
    <hyperlink ref="G2072" r:id="rId3016" xr:uid="{00000000-0004-0000-0200-0000C70B0000}"/>
    <hyperlink ref="S2073" r:id="rId3017" xr:uid="{00000000-0004-0000-0200-0000C80B0000}"/>
    <hyperlink ref="G2076" r:id="rId3018" xr:uid="{00000000-0004-0000-0200-0000C90B0000}"/>
    <hyperlink ref="S2076" r:id="rId3019" xr:uid="{00000000-0004-0000-0200-0000CA0B0000}"/>
    <hyperlink ref="F2078" r:id="rId3020" xr:uid="{00000000-0004-0000-0200-0000CB0B0000}"/>
    <hyperlink ref="S2078" r:id="rId3021" xr:uid="{00000000-0004-0000-0200-0000CC0B0000}"/>
    <hyperlink ref="F2079" r:id="rId3022" xr:uid="{00000000-0004-0000-0200-0000CD0B0000}"/>
    <hyperlink ref="G2079" r:id="rId3023" xr:uid="{00000000-0004-0000-0200-0000CE0B0000}"/>
    <hyperlink ref="F2080" r:id="rId3024" location=".W_bGyaG-4RO.twitter" xr:uid="{00000000-0004-0000-0200-0000CF0B0000}"/>
    <hyperlink ref="F2081" r:id="rId3025" xr:uid="{00000000-0004-0000-0200-0000D00B0000}"/>
    <hyperlink ref="G2081" r:id="rId3026" xr:uid="{00000000-0004-0000-0200-0000D10B0000}"/>
    <hyperlink ref="S2081" r:id="rId3027" xr:uid="{00000000-0004-0000-0200-0000D20B0000}"/>
    <hyperlink ref="G2082" r:id="rId3028" xr:uid="{00000000-0004-0000-0200-0000D30B0000}"/>
    <hyperlink ref="S2083" r:id="rId3029" xr:uid="{00000000-0004-0000-0200-0000D40B0000}"/>
    <hyperlink ref="F2084" r:id="rId3030" xr:uid="{00000000-0004-0000-0200-0000D50B0000}"/>
    <hyperlink ref="S2085" r:id="rId3031" xr:uid="{00000000-0004-0000-0200-0000D60B0000}"/>
    <hyperlink ref="F2086" r:id="rId3032" xr:uid="{00000000-0004-0000-0200-0000D70B0000}"/>
    <hyperlink ref="S2086" r:id="rId3033" xr:uid="{00000000-0004-0000-0200-0000D80B0000}"/>
    <hyperlink ref="F2089" r:id="rId3034" location=".W_Po_gcNQto.facebook" xr:uid="{00000000-0004-0000-0200-0000D90B0000}"/>
    <hyperlink ref="F2090" r:id="rId3035" xr:uid="{00000000-0004-0000-0200-0000DA0B0000}"/>
    <hyperlink ref="S2090" r:id="rId3036" xr:uid="{00000000-0004-0000-0200-0000DB0B0000}"/>
    <hyperlink ref="F2091" r:id="rId3037" xr:uid="{00000000-0004-0000-0200-0000DC0B0000}"/>
    <hyperlink ref="S2091" r:id="rId3038" xr:uid="{00000000-0004-0000-0200-0000DD0B0000}"/>
    <hyperlink ref="F2093" r:id="rId3039" xr:uid="{00000000-0004-0000-0200-0000DE0B0000}"/>
    <hyperlink ref="S2093" r:id="rId3040" xr:uid="{00000000-0004-0000-0200-0000DF0B0000}"/>
    <hyperlink ref="F2094" r:id="rId3041" xr:uid="{00000000-0004-0000-0200-0000E00B0000}"/>
    <hyperlink ref="S2094" r:id="rId3042" xr:uid="{00000000-0004-0000-0200-0000E10B0000}"/>
    <hyperlink ref="F2095" r:id="rId3043" xr:uid="{00000000-0004-0000-0200-0000E20B0000}"/>
    <hyperlink ref="G2095" r:id="rId3044" xr:uid="{00000000-0004-0000-0200-0000E30B0000}"/>
    <hyperlink ref="S2095" r:id="rId3045" xr:uid="{00000000-0004-0000-0200-0000E40B0000}"/>
    <hyperlink ref="F2096" r:id="rId3046" xr:uid="{00000000-0004-0000-0200-0000E50B0000}"/>
    <hyperlink ref="F2097" r:id="rId3047" xr:uid="{00000000-0004-0000-0200-0000E60B0000}"/>
    <hyperlink ref="S2097" r:id="rId3048" xr:uid="{00000000-0004-0000-0200-0000E70B0000}"/>
    <hyperlink ref="F2098" r:id="rId3049" xr:uid="{00000000-0004-0000-0200-0000E80B0000}"/>
    <hyperlink ref="G2098" r:id="rId3050" xr:uid="{00000000-0004-0000-0200-0000E90B0000}"/>
    <hyperlink ref="S2098" r:id="rId3051" xr:uid="{00000000-0004-0000-0200-0000EA0B0000}"/>
    <hyperlink ref="G2099" r:id="rId3052" xr:uid="{00000000-0004-0000-0200-0000EB0B0000}"/>
    <hyperlink ref="F2100" r:id="rId3053" xr:uid="{00000000-0004-0000-0200-0000EC0B0000}"/>
    <hyperlink ref="G2100" r:id="rId3054" xr:uid="{00000000-0004-0000-0200-0000ED0B0000}"/>
    <hyperlink ref="S2100" r:id="rId3055" xr:uid="{00000000-0004-0000-0200-0000EE0B0000}"/>
    <hyperlink ref="F2101" r:id="rId3056" xr:uid="{00000000-0004-0000-0200-0000EF0B0000}"/>
    <hyperlink ref="F2102" r:id="rId3057" xr:uid="{00000000-0004-0000-0200-0000F00B0000}"/>
    <hyperlink ref="G2102" r:id="rId3058" xr:uid="{00000000-0004-0000-0200-0000F10B0000}"/>
    <hyperlink ref="S2102" r:id="rId3059" xr:uid="{00000000-0004-0000-0200-0000F20B0000}"/>
    <hyperlink ref="F2103" r:id="rId3060" xr:uid="{00000000-0004-0000-0200-0000F30B0000}"/>
    <hyperlink ref="S2103" r:id="rId3061" xr:uid="{00000000-0004-0000-0200-0000F40B0000}"/>
    <hyperlink ref="F2104" r:id="rId3062" xr:uid="{00000000-0004-0000-0200-0000F50B0000}"/>
    <hyperlink ref="F2105" r:id="rId3063" xr:uid="{00000000-0004-0000-0200-0000F60B0000}"/>
    <hyperlink ref="F2106" r:id="rId3064" xr:uid="{00000000-0004-0000-0200-0000F70B0000}"/>
    <hyperlink ref="G2106" r:id="rId3065" xr:uid="{00000000-0004-0000-0200-0000F80B0000}"/>
    <hyperlink ref="S2107" r:id="rId3066" xr:uid="{00000000-0004-0000-0200-0000F90B0000}"/>
    <hyperlink ref="F2108" r:id="rId3067" xr:uid="{00000000-0004-0000-0200-0000FA0B0000}"/>
    <hyperlink ref="F2109" r:id="rId3068" xr:uid="{00000000-0004-0000-0200-0000FB0B0000}"/>
    <hyperlink ref="F2111" r:id="rId3069" xr:uid="{00000000-0004-0000-0200-0000FC0B0000}"/>
    <hyperlink ref="G2111" r:id="rId3070" xr:uid="{00000000-0004-0000-0200-0000FD0B0000}"/>
    <hyperlink ref="F2112" r:id="rId3071" location=".W_bAgC0wUWR.twitter" xr:uid="{00000000-0004-0000-0200-0000FE0B0000}"/>
    <hyperlink ref="S2112" r:id="rId3072" xr:uid="{00000000-0004-0000-0200-0000FF0B0000}"/>
    <hyperlink ref="F2113" r:id="rId3073" xr:uid="{00000000-0004-0000-0200-0000000C0000}"/>
    <hyperlink ref="S2113" r:id="rId3074" xr:uid="{00000000-0004-0000-0200-0000010C0000}"/>
    <hyperlink ref="F2114" r:id="rId3075" xr:uid="{00000000-0004-0000-0200-0000020C0000}"/>
    <hyperlink ref="G2114" r:id="rId3076" xr:uid="{00000000-0004-0000-0200-0000030C0000}"/>
    <hyperlink ref="S2114" r:id="rId3077" xr:uid="{00000000-0004-0000-0200-0000040C0000}"/>
    <hyperlink ref="G2115" r:id="rId3078" xr:uid="{00000000-0004-0000-0200-0000050C0000}"/>
    <hyperlink ref="S2115" r:id="rId3079" xr:uid="{00000000-0004-0000-0200-0000060C0000}"/>
    <hyperlink ref="G2117" r:id="rId3080" xr:uid="{00000000-0004-0000-0200-0000070C0000}"/>
    <hyperlink ref="F2118" r:id="rId3081" xr:uid="{00000000-0004-0000-0200-0000080C0000}"/>
    <hyperlink ref="S2118" r:id="rId3082" xr:uid="{00000000-0004-0000-0200-0000090C0000}"/>
    <hyperlink ref="G2119" r:id="rId3083" xr:uid="{00000000-0004-0000-0200-00000A0C0000}"/>
    <hyperlink ref="F2120" r:id="rId3084" xr:uid="{00000000-0004-0000-0200-00000B0C0000}"/>
    <hyperlink ref="S2120" r:id="rId3085" xr:uid="{00000000-0004-0000-0200-00000C0C0000}"/>
    <hyperlink ref="S2121" r:id="rId3086" xr:uid="{00000000-0004-0000-0200-00000D0C0000}"/>
    <hyperlink ref="S2122" r:id="rId3087" xr:uid="{00000000-0004-0000-0200-00000E0C0000}"/>
    <hyperlink ref="S2123" r:id="rId3088" xr:uid="{00000000-0004-0000-0200-00000F0C0000}"/>
    <hyperlink ref="F2124" r:id="rId3089" xr:uid="{00000000-0004-0000-0200-0000100C0000}"/>
    <hyperlink ref="G2125" r:id="rId3090" xr:uid="{00000000-0004-0000-0200-0000110C0000}"/>
    <hyperlink ref="S2125" r:id="rId3091" xr:uid="{00000000-0004-0000-0200-0000120C0000}"/>
    <hyperlink ref="G2126" r:id="rId3092" xr:uid="{00000000-0004-0000-0200-0000130C0000}"/>
    <hyperlink ref="F2127" r:id="rId3093" xr:uid="{00000000-0004-0000-0200-0000140C0000}"/>
    <hyperlink ref="S2127" r:id="rId3094" xr:uid="{00000000-0004-0000-0200-0000150C0000}"/>
    <hyperlink ref="G2128" r:id="rId3095" xr:uid="{00000000-0004-0000-0200-0000160C0000}"/>
    <hyperlink ref="S2128" r:id="rId3096" xr:uid="{00000000-0004-0000-0200-0000170C0000}"/>
    <hyperlink ref="F2129" r:id="rId3097" xr:uid="{00000000-0004-0000-0200-0000180C0000}"/>
    <hyperlink ref="S2130" r:id="rId3098" xr:uid="{00000000-0004-0000-0200-0000190C0000}"/>
    <hyperlink ref="F2133" r:id="rId3099" xr:uid="{00000000-0004-0000-0200-00001A0C0000}"/>
    <hyperlink ref="S2133" r:id="rId3100" xr:uid="{00000000-0004-0000-0200-00001B0C0000}"/>
    <hyperlink ref="F2134" r:id="rId3101" xr:uid="{00000000-0004-0000-0200-00001C0C0000}"/>
    <hyperlink ref="S2134" r:id="rId3102" xr:uid="{00000000-0004-0000-0200-00001D0C0000}"/>
    <hyperlink ref="F2135" r:id="rId3103" xr:uid="{00000000-0004-0000-0200-00001E0C0000}"/>
    <hyperlink ref="G2135" r:id="rId3104" xr:uid="{00000000-0004-0000-0200-00001F0C0000}"/>
    <hyperlink ref="S2135" r:id="rId3105" xr:uid="{00000000-0004-0000-0200-0000200C0000}"/>
    <hyperlink ref="G2136" r:id="rId3106" xr:uid="{00000000-0004-0000-0200-0000210C0000}"/>
    <hyperlink ref="F2137" r:id="rId3107" xr:uid="{00000000-0004-0000-0200-0000220C0000}"/>
    <hyperlink ref="S2137" r:id="rId3108" xr:uid="{00000000-0004-0000-0200-0000230C0000}"/>
    <hyperlink ref="F2138" r:id="rId3109" xr:uid="{00000000-0004-0000-0200-0000240C0000}"/>
    <hyperlink ref="S2139" r:id="rId3110" xr:uid="{00000000-0004-0000-0200-0000250C0000}"/>
    <hyperlink ref="G2140" r:id="rId3111" xr:uid="{00000000-0004-0000-0200-0000260C0000}"/>
    <hyperlink ref="S2140" r:id="rId3112" xr:uid="{00000000-0004-0000-0200-0000270C0000}"/>
    <hyperlink ref="F2141" r:id="rId3113" xr:uid="{00000000-0004-0000-0200-0000280C0000}"/>
    <hyperlink ref="G2143" r:id="rId3114" xr:uid="{00000000-0004-0000-0200-0000290C0000}"/>
    <hyperlink ref="S2143" r:id="rId3115" xr:uid="{00000000-0004-0000-0200-00002A0C0000}"/>
    <hyperlink ref="F2144" r:id="rId3116" xr:uid="{00000000-0004-0000-0200-00002B0C0000}"/>
    <hyperlink ref="G2144" r:id="rId3117" xr:uid="{00000000-0004-0000-0200-00002C0C0000}"/>
    <hyperlink ref="S2144" r:id="rId3118" xr:uid="{00000000-0004-0000-0200-00002D0C0000}"/>
    <hyperlink ref="F2145" r:id="rId3119" xr:uid="{00000000-0004-0000-0200-00002E0C0000}"/>
    <hyperlink ref="S2145" r:id="rId3120" xr:uid="{00000000-0004-0000-0200-00002F0C0000}"/>
    <hyperlink ref="F2146" r:id="rId3121" xr:uid="{00000000-0004-0000-0200-0000300C0000}"/>
    <hyperlink ref="G2146" r:id="rId3122" xr:uid="{00000000-0004-0000-0200-0000310C0000}"/>
    <hyperlink ref="S2146" r:id="rId3123" xr:uid="{00000000-0004-0000-0200-0000320C0000}"/>
    <hyperlink ref="G2147" r:id="rId3124" xr:uid="{00000000-0004-0000-0200-0000330C0000}"/>
    <hyperlink ref="S2147" r:id="rId3125" xr:uid="{00000000-0004-0000-0200-0000340C0000}"/>
    <hyperlink ref="F2150" r:id="rId3126" location=".W_a8gOGJJcU.twitter" xr:uid="{00000000-0004-0000-0200-0000350C0000}"/>
    <hyperlink ref="F2151" r:id="rId3127" xr:uid="{00000000-0004-0000-0200-0000360C0000}"/>
    <hyperlink ref="S2151" r:id="rId3128" xr:uid="{00000000-0004-0000-0200-0000370C0000}"/>
    <hyperlink ref="F2152" r:id="rId3129" location=".W_a8E6SaiVl.twitter" xr:uid="{00000000-0004-0000-0200-0000380C0000}"/>
    <hyperlink ref="S2152" r:id="rId3130" xr:uid="{00000000-0004-0000-0200-0000390C0000}"/>
    <hyperlink ref="F2154" r:id="rId3131" xr:uid="{00000000-0004-0000-0200-00003A0C0000}"/>
    <hyperlink ref="G2154" r:id="rId3132" xr:uid="{00000000-0004-0000-0200-00003B0C0000}"/>
    <hyperlink ref="S2154" r:id="rId3133" xr:uid="{00000000-0004-0000-0200-00003C0C0000}"/>
    <hyperlink ref="G2156" r:id="rId3134" xr:uid="{00000000-0004-0000-0200-00003D0C0000}"/>
    <hyperlink ref="S2156" r:id="rId3135" xr:uid="{00000000-0004-0000-0200-00003E0C0000}"/>
    <hyperlink ref="F2157" r:id="rId3136" xr:uid="{00000000-0004-0000-0200-00003F0C0000}"/>
    <hyperlink ref="S2157" r:id="rId3137" xr:uid="{00000000-0004-0000-0200-0000400C0000}"/>
    <hyperlink ref="F2158" r:id="rId3138" xr:uid="{00000000-0004-0000-0200-0000410C0000}"/>
    <hyperlink ref="F2159" r:id="rId3139" xr:uid="{00000000-0004-0000-0200-0000420C0000}"/>
    <hyperlink ref="F2160" r:id="rId3140" xr:uid="{00000000-0004-0000-0200-0000430C0000}"/>
    <hyperlink ref="F2161" r:id="rId3141" xr:uid="{00000000-0004-0000-0200-0000440C0000}"/>
    <hyperlink ref="S2161" r:id="rId3142" xr:uid="{00000000-0004-0000-0200-0000450C0000}"/>
    <hyperlink ref="S2162" r:id="rId3143" xr:uid="{00000000-0004-0000-0200-0000460C0000}"/>
    <hyperlink ref="G2164" r:id="rId3144" xr:uid="{00000000-0004-0000-0200-0000470C0000}"/>
    <hyperlink ref="S2164" r:id="rId3145" xr:uid="{00000000-0004-0000-0200-0000480C0000}"/>
    <hyperlink ref="G2165" r:id="rId3146" xr:uid="{00000000-0004-0000-0200-0000490C0000}"/>
    <hyperlink ref="S2165" r:id="rId3147" xr:uid="{00000000-0004-0000-0200-00004A0C0000}"/>
    <hyperlink ref="S2167" r:id="rId3148" xr:uid="{00000000-0004-0000-0200-00004B0C0000}"/>
    <hyperlink ref="F2169" r:id="rId3149" xr:uid="{00000000-0004-0000-0200-00004C0C0000}"/>
    <hyperlink ref="S2169" r:id="rId3150" xr:uid="{00000000-0004-0000-0200-00004D0C0000}"/>
    <hyperlink ref="F2170" r:id="rId3151" xr:uid="{00000000-0004-0000-0200-00004E0C0000}"/>
    <hyperlink ref="S2170" r:id="rId3152" xr:uid="{00000000-0004-0000-0200-00004F0C0000}"/>
    <hyperlink ref="F2171" r:id="rId3153" xr:uid="{00000000-0004-0000-0200-0000500C0000}"/>
    <hyperlink ref="S2171" r:id="rId3154" xr:uid="{00000000-0004-0000-0200-0000510C0000}"/>
    <hyperlink ref="F2174" r:id="rId3155" xr:uid="{00000000-0004-0000-0200-0000520C0000}"/>
    <hyperlink ref="S2174" r:id="rId3156" xr:uid="{00000000-0004-0000-0200-0000530C0000}"/>
    <hyperlink ref="G2175" r:id="rId3157" xr:uid="{00000000-0004-0000-0200-0000540C0000}"/>
    <hyperlink ref="S2175" r:id="rId3158" xr:uid="{00000000-0004-0000-0200-0000550C0000}"/>
    <hyperlink ref="S2176" r:id="rId3159" xr:uid="{00000000-0004-0000-0200-0000560C0000}"/>
    <hyperlink ref="S2177" r:id="rId3160" xr:uid="{00000000-0004-0000-0200-0000570C0000}"/>
    <hyperlink ref="Q2178" r:id="rId3161" xr:uid="{00000000-0004-0000-0200-0000580C0000}"/>
    <hyperlink ref="S2178" r:id="rId3162" xr:uid="{00000000-0004-0000-0200-0000590C0000}"/>
    <hyperlink ref="F2179" r:id="rId3163" xr:uid="{00000000-0004-0000-0200-00005A0C0000}"/>
    <hyperlink ref="S2179" r:id="rId3164" xr:uid="{00000000-0004-0000-0200-00005B0C0000}"/>
    <hyperlink ref="G2180" r:id="rId3165" xr:uid="{00000000-0004-0000-0200-00005C0C0000}"/>
    <hyperlink ref="F2182" r:id="rId3166" xr:uid="{00000000-0004-0000-0200-00005D0C0000}"/>
    <hyperlink ref="G2183" r:id="rId3167" xr:uid="{00000000-0004-0000-0200-00005E0C0000}"/>
    <hyperlink ref="S2183" r:id="rId3168" xr:uid="{00000000-0004-0000-0200-00005F0C0000}"/>
    <hyperlink ref="F2184" r:id="rId3169" xr:uid="{00000000-0004-0000-0200-0000600C0000}"/>
    <hyperlink ref="F2186" r:id="rId3170" xr:uid="{00000000-0004-0000-0200-0000610C0000}"/>
    <hyperlink ref="F2187" r:id="rId3171" xr:uid="{00000000-0004-0000-0200-0000620C0000}"/>
    <hyperlink ref="S2187" r:id="rId3172" xr:uid="{00000000-0004-0000-0200-0000630C0000}"/>
    <hyperlink ref="F2188" r:id="rId3173" xr:uid="{00000000-0004-0000-0200-0000640C0000}"/>
    <hyperlink ref="C2189" r:id="rId3174" xr:uid="{00000000-0004-0000-0200-0000650C0000}"/>
    <hyperlink ref="F2189" r:id="rId3175" xr:uid="{00000000-0004-0000-0200-0000660C0000}"/>
    <hyperlink ref="S2189" r:id="rId3176" xr:uid="{00000000-0004-0000-0200-0000670C0000}"/>
    <hyperlink ref="F2190" r:id="rId3177" xr:uid="{00000000-0004-0000-0200-0000680C0000}"/>
    <hyperlink ref="S2190" r:id="rId3178" xr:uid="{00000000-0004-0000-0200-0000690C0000}"/>
    <hyperlink ref="G2191" r:id="rId3179" xr:uid="{00000000-0004-0000-0200-00006A0C0000}"/>
    <hyperlink ref="F2192" r:id="rId3180" xr:uid="{00000000-0004-0000-0200-00006B0C0000}"/>
    <hyperlink ref="F2193" r:id="rId3181" xr:uid="{00000000-0004-0000-0200-00006C0C0000}"/>
    <hyperlink ref="S2193" r:id="rId3182" xr:uid="{00000000-0004-0000-0200-00006D0C0000}"/>
    <hyperlink ref="S2194" r:id="rId3183" xr:uid="{00000000-0004-0000-0200-00006E0C0000}"/>
    <hyperlink ref="F2195" r:id="rId3184" xr:uid="{00000000-0004-0000-0200-00006F0C0000}"/>
    <hyperlink ref="G2195" r:id="rId3185" xr:uid="{00000000-0004-0000-0200-0000700C0000}"/>
    <hyperlink ref="S2195" r:id="rId3186" xr:uid="{00000000-0004-0000-0200-0000710C0000}"/>
    <hyperlink ref="F2196" r:id="rId3187" xr:uid="{00000000-0004-0000-0200-0000720C0000}"/>
    <hyperlink ref="G2196" r:id="rId3188" xr:uid="{00000000-0004-0000-0200-0000730C0000}"/>
    <hyperlink ref="S2196" r:id="rId3189" xr:uid="{00000000-0004-0000-0200-0000740C0000}"/>
    <hyperlink ref="F2197" r:id="rId3190" location=".W_a1MtC1umA.twitter" xr:uid="{00000000-0004-0000-0200-0000750C0000}"/>
    <hyperlink ref="F2198" r:id="rId3191" xr:uid="{00000000-0004-0000-0200-0000760C0000}"/>
    <hyperlink ref="S2198" r:id="rId3192" xr:uid="{00000000-0004-0000-0200-0000770C0000}"/>
    <hyperlink ref="F2199" r:id="rId3193" xr:uid="{00000000-0004-0000-0200-0000780C0000}"/>
    <hyperlink ref="F2200" r:id="rId3194" location=".W_a0GX_vaLY.twitter" xr:uid="{00000000-0004-0000-0200-0000790C0000}"/>
    <hyperlink ref="F2201" r:id="rId3195" xr:uid="{00000000-0004-0000-0200-00007A0C0000}"/>
    <hyperlink ref="S2201" r:id="rId3196" xr:uid="{00000000-0004-0000-0200-00007B0C0000}"/>
    <hyperlink ref="F2202" r:id="rId3197" xr:uid="{00000000-0004-0000-0200-00007C0C0000}"/>
    <hyperlink ref="G2203" r:id="rId3198" xr:uid="{00000000-0004-0000-0200-00007D0C0000}"/>
    <hyperlink ref="S2203" r:id="rId3199" xr:uid="{00000000-0004-0000-0200-00007E0C0000}"/>
    <hyperlink ref="F2204" r:id="rId3200" xr:uid="{00000000-0004-0000-0200-00007F0C0000}"/>
    <hyperlink ref="S2204" r:id="rId3201" xr:uid="{00000000-0004-0000-0200-0000800C0000}"/>
    <hyperlink ref="F2205" r:id="rId3202" xr:uid="{00000000-0004-0000-0200-0000810C0000}"/>
    <hyperlink ref="F2206" r:id="rId3203" xr:uid="{00000000-0004-0000-0200-0000820C0000}"/>
    <hyperlink ref="F2207" r:id="rId3204" xr:uid="{00000000-0004-0000-0200-0000830C0000}"/>
    <hyperlink ref="S2207" r:id="rId3205" xr:uid="{00000000-0004-0000-0200-0000840C0000}"/>
    <hyperlink ref="F2208" r:id="rId3206" xr:uid="{00000000-0004-0000-0200-0000850C0000}"/>
    <hyperlink ref="F2209" r:id="rId3207" xr:uid="{00000000-0004-0000-0200-0000860C0000}"/>
    <hyperlink ref="F2210" r:id="rId3208" xr:uid="{00000000-0004-0000-0200-0000870C0000}"/>
    <hyperlink ref="G2210" r:id="rId3209" xr:uid="{00000000-0004-0000-0200-0000880C0000}"/>
    <hyperlink ref="F2211" r:id="rId3210" xr:uid="{00000000-0004-0000-0200-0000890C0000}"/>
    <hyperlink ref="F2212" r:id="rId3211" xr:uid="{00000000-0004-0000-0200-00008A0C0000}"/>
    <hyperlink ref="G2212" r:id="rId3212" xr:uid="{00000000-0004-0000-0200-00008B0C0000}"/>
    <hyperlink ref="F2213" r:id="rId3213" location=".W_ayM65FTDA.twitter" xr:uid="{00000000-0004-0000-0200-00008C0C0000}"/>
    <hyperlink ref="F2214" r:id="rId3214" xr:uid="{00000000-0004-0000-0200-00008D0C0000}"/>
    <hyperlink ref="S2214" r:id="rId3215" xr:uid="{00000000-0004-0000-0200-00008E0C0000}"/>
    <hyperlink ref="F2215" r:id="rId3216" xr:uid="{00000000-0004-0000-0200-00008F0C0000}"/>
    <hyperlink ref="F2216" r:id="rId3217" xr:uid="{00000000-0004-0000-0200-0000900C0000}"/>
    <hyperlink ref="F2217" r:id="rId3218" xr:uid="{00000000-0004-0000-0200-0000910C0000}"/>
    <hyperlink ref="S2217" r:id="rId3219" xr:uid="{00000000-0004-0000-0200-0000920C0000}"/>
    <hyperlink ref="F2218" r:id="rId3220" xr:uid="{00000000-0004-0000-0200-0000930C0000}"/>
    <hyperlink ref="G2220" r:id="rId3221" xr:uid="{00000000-0004-0000-0200-0000940C0000}"/>
    <hyperlink ref="S2220" r:id="rId3222" xr:uid="{00000000-0004-0000-0200-0000950C0000}"/>
    <hyperlink ref="F2221" r:id="rId3223" xr:uid="{00000000-0004-0000-0200-0000960C0000}"/>
    <hyperlink ref="F2222" r:id="rId3224" xr:uid="{00000000-0004-0000-0200-0000970C0000}"/>
    <hyperlink ref="S2222" r:id="rId3225" xr:uid="{00000000-0004-0000-0200-0000980C0000}"/>
    <hyperlink ref="S2223" r:id="rId3226" xr:uid="{00000000-0004-0000-0200-0000990C0000}"/>
    <hyperlink ref="F2224" r:id="rId3227" location=".W_axQJAH7Lx.twitter" xr:uid="{00000000-0004-0000-0200-00009A0C0000}"/>
    <hyperlink ref="F2225" r:id="rId3228" xr:uid="{00000000-0004-0000-0200-00009B0C0000}"/>
    <hyperlink ref="F2226" r:id="rId3229" xr:uid="{00000000-0004-0000-0200-00009C0C0000}"/>
    <hyperlink ref="G2226" r:id="rId3230" xr:uid="{00000000-0004-0000-0200-00009D0C0000}"/>
    <hyperlink ref="F2227" r:id="rId3231" xr:uid="{00000000-0004-0000-0200-00009E0C0000}"/>
    <hyperlink ref="F2229" r:id="rId3232" xr:uid="{00000000-0004-0000-0200-00009F0C0000}"/>
    <hyperlink ref="S2229" r:id="rId3233" xr:uid="{00000000-0004-0000-0200-0000A00C0000}"/>
    <hyperlink ref="F2231" r:id="rId3234" xr:uid="{00000000-0004-0000-0200-0000A10C0000}"/>
    <hyperlink ref="S2231" r:id="rId3235" xr:uid="{00000000-0004-0000-0200-0000A20C0000}"/>
    <hyperlink ref="F2232" r:id="rId3236" xr:uid="{00000000-0004-0000-0200-0000A30C0000}"/>
    <hyperlink ref="F2234" r:id="rId3237" xr:uid="{00000000-0004-0000-0200-0000A40C0000}"/>
    <hyperlink ref="G2234" r:id="rId3238" xr:uid="{00000000-0004-0000-0200-0000A50C0000}"/>
    <hyperlink ref="S2234" r:id="rId3239" xr:uid="{00000000-0004-0000-0200-0000A60C0000}"/>
    <hyperlink ref="G2235" r:id="rId3240" xr:uid="{00000000-0004-0000-0200-0000A70C0000}"/>
    <hyperlink ref="S2235" r:id="rId3241" xr:uid="{00000000-0004-0000-0200-0000A80C0000}"/>
    <hyperlink ref="C2236" r:id="rId3242" xr:uid="{00000000-0004-0000-0200-0000A90C0000}"/>
    <hyperlink ref="G2236" r:id="rId3243" xr:uid="{00000000-0004-0000-0200-0000AA0C0000}"/>
    <hyperlink ref="S2236" r:id="rId3244" xr:uid="{00000000-0004-0000-0200-0000AB0C0000}"/>
    <hyperlink ref="F2237" r:id="rId3245" xr:uid="{00000000-0004-0000-0200-0000AC0C0000}"/>
    <hyperlink ref="S2237" r:id="rId3246" xr:uid="{00000000-0004-0000-0200-0000AD0C0000}"/>
    <hyperlink ref="F2238" r:id="rId3247" xr:uid="{00000000-0004-0000-0200-0000AE0C0000}"/>
    <hyperlink ref="S2238" r:id="rId3248" xr:uid="{00000000-0004-0000-0200-0000AF0C0000}"/>
    <hyperlink ref="F2239" r:id="rId3249" xr:uid="{00000000-0004-0000-0200-0000B00C0000}"/>
    <hyperlink ref="S2239" r:id="rId3250" xr:uid="{00000000-0004-0000-0200-0000B10C0000}"/>
    <hyperlink ref="S2240" r:id="rId3251" xr:uid="{00000000-0004-0000-0200-0000B20C0000}"/>
    <hyperlink ref="F2241" r:id="rId3252" xr:uid="{00000000-0004-0000-0200-0000B30C0000}"/>
    <hyperlink ref="S2241" r:id="rId3253" xr:uid="{00000000-0004-0000-0200-0000B40C0000}"/>
    <hyperlink ref="G2242" r:id="rId3254" xr:uid="{00000000-0004-0000-0200-0000B50C0000}"/>
    <hyperlink ref="S2242" r:id="rId3255" xr:uid="{00000000-0004-0000-0200-0000B60C0000}"/>
    <hyperlink ref="F2243" r:id="rId3256" xr:uid="{00000000-0004-0000-0200-0000B70C0000}"/>
    <hyperlink ref="S2243" r:id="rId3257" xr:uid="{00000000-0004-0000-0200-0000B80C0000}"/>
    <hyperlink ref="F2244" r:id="rId3258" xr:uid="{00000000-0004-0000-0200-0000B90C0000}"/>
    <hyperlink ref="S2244" r:id="rId3259" xr:uid="{00000000-0004-0000-0200-0000BA0C0000}"/>
    <hyperlink ref="G2245" r:id="rId3260" xr:uid="{00000000-0004-0000-0200-0000BB0C0000}"/>
    <hyperlink ref="S2245" r:id="rId3261" xr:uid="{00000000-0004-0000-0200-0000BC0C0000}"/>
    <hyperlink ref="S2246" r:id="rId3262" xr:uid="{00000000-0004-0000-0200-0000BD0C0000}"/>
    <hyperlink ref="F2247" r:id="rId3263" xr:uid="{00000000-0004-0000-0200-0000BE0C0000}"/>
    <hyperlink ref="S2247" r:id="rId3264" xr:uid="{00000000-0004-0000-0200-0000BF0C0000}"/>
    <hyperlink ref="S2248" r:id="rId3265" xr:uid="{00000000-0004-0000-0200-0000C00C0000}"/>
    <hyperlink ref="F2250" r:id="rId3266" xr:uid="{00000000-0004-0000-0200-0000C10C0000}"/>
    <hyperlink ref="F2252" r:id="rId3267" xr:uid="{00000000-0004-0000-0200-0000C20C0000}"/>
    <hyperlink ref="G2252" r:id="rId3268" xr:uid="{00000000-0004-0000-0200-0000C30C0000}"/>
    <hyperlink ref="F2254" r:id="rId3269" xr:uid="{00000000-0004-0000-0200-0000C40C0000}"/>
    <hyperlink ref="S2254" r:id="rId3270" xr:uid="{00000000-0004-0000-0200-0000C50C0000}"/>
    <hyperlink ref="F2255" r:id="rId3271" xr:uid="{00000000-0004-0000-0200-0000C60C0000}"/>
    <hyperlink ref="F2256" r:id="rId3272" xr:uid="{00000000-0004-0000-0200-0000C70C0000}"/>
    <hyperlink ref="S2256" r:id="rId3273" xr:uid="{00000000-0004-0000-0200-0000C80C0000}"/>
    <hyperlink ref="F2257" r:id="rId3274" xr:uid="{00000000-0004-0000-0200-0000C90C0000}"/>
    <hyperlink ref="S2258" r:id="rId3275" xr:uid="{00000000-0004-0000-0200-0000CA0C0000}"/>
    <hyperlink ref="F2259" r:id="rId3276" xr:uid="{00000000-0004-0000-0200-0000CB0C0000}"/>
    <hyperlink ref="F2260" r:id="rId3277" xr:uid="{00000000-0004-0000-0200-0000CC0C0000}"/>
    <hyperlink ref="G2260" r:id="rId3278" xr:uid="{00000000-0004-0000-0200-0000CD0C0000}"/>
    <hyperlink ref="S2260" r:id="rId3279" xr:uid="{00000000-0004-0000-0200-0000CE0C0000}"/>
    <hyperlink ref="F2261" r:id="rId3280" location=".W_aq8jBfGm8.twitter" xr:uid="{00000000-0004-0000-0200-0000CF0C0000}"/>
    <hyperlink ref="S2261" r:id="rId3281" xr:uid="{00000000-0004-0000-0200-0000D00C0000}"/>
    <hyperlink ref="F2262" r:id="rId3282" xr:uid="{00000000-0004-0000-0200-0000D10C0000}"/>
    <hyperlink ref="S2262" r:id="rId3283" xr:uid="{00000000-0004-0000-0200-0000D20C0000}"/>
    <hyperlink ref="F2264" r:id="rId3284" xr:uid="{00000000-0004-0000-0200-0000D30C0000}"/>
    <hyperlink ref="G2265" r:id="rId3285" xr:uid="{00000000-0004-0000-0200-0000D40C0000}"/>
    <hyperlink ref="F2266" r:id="rId3286" xr:uid="{00000000-0004-0000-0200-0000D50C0000}"/>
    <hyperlink ref="F2267" r:id="rId3287" xr:uid="{00000000-0004-0000-0200-0000D60C0000}"/>
    <hyperlink ref="G2267" r:id="rId3288" xr:uid="{00000000-0004-0000-0200-0000D70C0000}"/>
    <hyperlink ref="S2267" r:id="rId3289" xr:uid="{00000000-0004-0000-0200-0000D80C0000}"/>
    <hyperlink ref="F2268" r:id="rId3290" xr:uid="{00000000-0004-0000-0200-0000D90C0000}"/>
    <hyperlink ref="F2269" r:id="rId3291" xr:uid="{00000000-0004-0000-0200-0000DA0C0000}"/>
    <hyperlink ref="G2269" r:id="rId3292" xr:uid="{00000000-0004-0000-0200-0000DB0C0000}"/>
    <hyperlink ref="S2269" r:id="rId3293" xr:uid="{00000000-0004-0000-0200-0000DC0C0000}"/>
    <hyperlink ref="F2270" r:id="rId3294" xr:uid="{00000000-0004-0000-0200-0000DD0C0000}"/>
    <hyperlink ref="S2270" r:id="rId3295" xr:uid="{00000000-0004-0000-0200-0000DE0C0000}"/>
    <hyperlink ref="F2271" r:id="rId3296" xr:uid="{00000000-0004-0000-0200-0000DF0C0000}"/>
    <hyperlink ref="G2272" r:id="rId3297" xr:uid="{00000000-0004-0000-0200-0000E00C0000}"/>
    <hyperlink ref="F2273" r:id="rId3298" xr:uid="{00000000-0004-0000-0200-0000E10C0000}"/>
    <hyperlink ref="G2273" r:id="rId3299" xr:uid="{00000000-0004-0000-0200-0000E20C0000}"/>
    <hyperlink ref="S2273" r:id="rId3300" xr:uid="{00000000-0004-0000-0200-0000E30C0000}"/>
    <hyperlink ref="F2274" r:id="rId3301" xr:uid="{00000000-0004-0000-0200-0000E40C0000}"/>
    <hyperlink ref="S2274" r:id="rId3302" xr:uid="{00000000-0004-0000-0200-0000E50C0000}"/>
    <hyperlink ref="F2275" r:id="rId3303" xr:uid="{00000000-0004-0000-0200-0000E60C0000}"/>
    <hyperlink ref="S2275" r:id="rId3304" xr:uid="{00000000-0004-0000-0200-0000E70C0000}"/>
    <hyperlink ref="F2276" r:id="rId3305" xr:uid="{00000000-0004-0000-0200-0000E80C0000}"/>
    <hyperlink ref="S2276" r:id="rId3306" xr:uid="{00000000-0004-0000-0200-0000E90C0000}"/>
    <hyperlink ref="F2277" r:id="rId3307" xr:uid="{00000000-0004-0000-0200-0000EA0C0000}"/>
    <hyperlink ref="S2277" r:id="rId3308" xr:uid="{00000000-0004-0000-0200-0000EB0C0000}"/>
    <hyperlink ref="F2278" r:id="rId3309" xr:uid="{00000000-0004-0000-0200-0000EC0C0000}"/>
    <hyperlink ref="F2279" r:id="rId3310" xr:uid="{00000000-0004-0000-0200-0000ED0C0000}"/>
    <hyperlink ref="G2279" r:id="rId3311" xr:uid="{00000000-0004-0000-0200-0000EE0C0000}"/>
    <hyperlink ref="S2279" r:id="rId3312" xr:uid="{00000000-0004-0000-0200-0000EF0C0000}"/>
    <hyperlink ref="F2280" r:id="rId3313" xr:uid="{00000000-0004-0000-0200-0000F00C0000}"/>
    <hyperlink ref="S2280" r:id="rId3314" xr:uid="{00000000-0004-0000-0200-0000F10C0000}"/>
    <hyperlink ref="F2281" r:id="rId3315" xr:uid="{00000000-0004-0000-0200-0000F20C0000}"/>
    <hyperlink ref="F2282" r:id="rId3316" location="Echobox=1542706068" xr:uid="{00000000-0004-0000-0200-0000F30C0000}"/>
    <hyperlink ref="F2283" r:id="rId3317" location=".W_anI5reshA.twitter" xr:uid="{00000000-0004-0000-0200-0000F40C0000}"/>
    <hyperlink ref="S2283" r:id="rId3318" xr:uid="{00000000-0004-0000-0200-0000F50C0000}"/>
    <hyperlink ref="F2285" r:id="rId3319" xr:uid="{00000000-0004-0000-0200-0000F60C0000}"/>
    <hyperlink ref="G2285" r:id="rId3320" xr:uid="{00000000-0004-0000-0200-0000F70C0000}"/>
    <hyperlink ref="S2285" r:id="rId3321" xr:uid="{00000000-0004-0000-0200-0000F80C0000}"/>
    <hyperlink ref="G2286" r:id="rId3322" xr:uid="{00000000-0004-0000-0200-0000F90C0000}"/>
    <hyperlink ref="F2287" r:id="rId3323" xr:uid="{00000000-0004-0000-0200-0000FA0C0000}"/>
    <hyperlink ref="S2287" r:id="rId3324" xr:uid="{00000000-0004-0000-0200-0000FB0C0000}"/>
    <hyperlink ref="F2288" r:id="rId3325" xr:uid="{00000000-0004-0000-0200-0000FC0C0000}"/>
    <hyperlink ref="S2288" r:id="rId3326" xr:uid="{00000000-0004-0000-0200-0000FD0C0000}"/>
    <hyperlink ref="F2289" r:id="rId3327" xr:uid="{00000000-0004-0000-0200-0000FE0C0000}"/>
    <hyperlink ref="G2289" r:id="rId3328" xr:uid="{00000000-0004-0000-0200-0000FF0C0000}"/>
    <hyperlink ref="S2289" r:id="rId3329" xr:uid="{00000000-0004-0000-0200-0000000D0000}"/>
    <hyperlink ref="F2290" r:id="rId3330" xr:uid="{00000000-0004-0000-0200-0000010D0000}"/>
    <hyperlink ref="G2290" r:id="rId3331" xr:uid="{00000000-0004-0000-0200-0000020D0000}"/>
    <hyperlink ref="S2290" r:id="rId3332" xr:uid="{00000000-0004-0000-0200-0000030D0000}"/>
    <hyperlink ref="F2291" r:id="rId3333" location=".W_alyKjyMyI.twitter" xr:uid="{00000000-0004-0000-0200-0000040D0000}"/>
    <hyperlink ref="S2291" r:id="rId3334" xr:uid="{00000000-0004-0000-0200-0000050D0000}"/>
    <hyperlink ref="F2292" r:id="rId3335" xr:uid="{00000000-0004-0000-0200-0000060D0000}"/>
    <hyperlink ref="F2293" r:id="rId3336" xr:uid="{00000000-0004-0000-0200-0000070D0000}"/>
    <hyperlink ref="S2293" r:id="rId3337" xr:uid="{00000000-0004-0000-0200-0000080D0000}"/>
    <hyperlink ref="F2294" r:id="rId3338" xr:uid="{00000000-0004-0000-0200-0000090D0000}"/>
    <hyperlink ref="F2295" r:id="rId3339" xr:uid="{00000000-0004-0000-0200-00000A0D0000}"/>
    <hyperlink ref="G2296" r:id="rId3340" xr:uid="{00000000-0004-0000-0200-00000B0D0000}"/>
    <hyperlink ref="S2296" r:id="rId3341" xr:uid="{00000000-0004-0000-0200-00000C0D0000}"/>
    <hyperlink ref="S2297" r:id="rId3342" xr:uid="{00000000-0004-0000-0200-00000D0D0000}"/>
    <hyperlink ref="F2298" r:id="rId3343" xr:uid="{00000000-0004-0000-0200-00000E0D0000}"/>
    <hyperlink ref="G2298" r:id="rId3344" xr:uid="{00000000-0004-0000-0200-00000F0D0000}"/>
    <hyperlink ref="S2298" r:id="rId3345" xr:uid="{00000000-0004-0000-0200-0000100D0000}"/>
    <hyperlink ref="F2300" r:id="rId3346" xr:uid="{00000000-0004-0000-0200-0000110D0000}"/>
    <hyperlink ref="G2300" r:id="rId3347" xr:uid="{00000000-0004-0000-0200-0000120D0000}"/>
    <hyperlink ref="S2300" r:id="rId3348" xr:uid="{00000000-0004-0000-0200-0000130D0000}"/>
    <hyperlink ref="F2301" r:id="rId3349" xr:uid="{00000000-0004-0000-0200-0000140D0000}"/>
    <hyperlink ref="S2301" r:id="rId3350" xr:uid="{00000000-0004-0000-0200-0000150D0000}"/>
    <hyperlink ref="G2302" r:id="rId3351" xr:uid="{00000000-0004-0000-0200-0000160D0000}"/>
    <hyperlink ref="S2302" r:id="rId3352" xr:uid="{00000000-0004-0000-0200-0000170D0000}"/>
    <hyperlink ref="F2303" r:id="rId3353" xr:uid="{00000000-0004-0000-0200-0000180D0000}"/>
    <hyperlink ref="F2304" r:id="rId3354" xr:uid="{00000000-0004-0000-0200-0000190D0000}"/>
    <hyperlink ref="S2304" r:id="rId3355" xr:uid="{00000000-0004-0000-0200-00001A0D0000}"/>
    <hyperlink ref="F2305" r:id="rId3356" xr:uid="{00000000-0004-0000-0200-00001B0D0000}"/>
    <hyperlink ref="F2307" r:id="rId3357" xr:uid="{00000000-0004-0000-0200-00001C0D0000}"/>
    <hyperlink ref="S2307" r:id="rId3358" xr:uid="{00000000-0004-0000-0200-00001D0D0000}"/>
    <hyperlink ref="G2310" r:id="rId3359" xr:uid="{00000000-0004-0000-0200-00001E0D0000}"/>
    <hyperlink ref="S2310" r:id="rId3360" xr:uid="{00000000-0004-0000-0200-00001F0D0000}"/>
    <hyperlink ref="F2312" r:id="rId3361" location=".W_ainfTjsHd.twitter" xr:uid="{00000000-0004-0000-0200-0000200D0000}"/>
    <hyperlink ref="S2312" r:id="rId3362" xr:uid="{00000000-0004-0000-0200-0000210D0000}"/>
    <hyperlink ref="F2314" r:id="rId3363" xr:uid="{00000000-0004-0000-0200-0000220D0000}"/>
    <hyperlink ref="S2314" r:id="rId3364" xr:uid="{00000000-0004-0000-0200-0000230D0000}"/>
    <hyperlink ref="F2315" r:id="rId3365" xr:uid="{00000000-0004-0000-0200-0000240D0000}"/>
    <hyperlink ref="S2316" r:id="rId3366" xr:uid="{00000000-0004-0000-0200-0000250D0000}"/>
    <hyperlink ref="F2317" r:id="rId3367" xr:uid="{00000000-0004-0000-0200-0000260D0000}"/>
    <hyperlink ref="G2317" r:id="rId3368" xr:uid="{00000000-0004-0000-0200-0000270D0000}"/>
    <hyperlink ref="F2318" r:id="rId3369" xr:uid="{00000000-0004-0000-0200-0000280D0000}"/>
    <hyperlink ref="G2318" r:id="rId3370" xr:uid="{00000000-0004-0000-0200-0000290D0000}"/>
    <hyperlink ref="S2318" r:id="rId3371" xr:uid="{00000000-0004-0000-0200-00002A0D0000}"/>
    <hyperlink ref="F2319" r:id="rId3372" xr:uid="{00000000-0004-0000-0200-00002B0D0000}"/>
    <hyperlink ref="S2319" r:id="rId3373" xr:uid="{00000000-0004-0000-0200-00002C0D0000}"/>
    <hyperlink ref="F2320" r:id="rId3374" xr:uid="{00000000-0004-0000-0200-00002D0D0000}"/>
    <hyperlink ref="F2321" r:id="rId3375" location=".W_agNhFMTUI.twitter" xr:uid="{00000000-0004-0000-0200-00002E0D0000}"/>
    <hyperlink ref="S2321" r:id="rId3376" xr:uid="{00000000-0004-0000-0200-00002F0D0000}"/>
    <hyperlink ref="S2323" r:id="rId3377" xr:uid="{00000000-0004-0000-0200-0000300D0000}"/>
    <hyperlink ref="F2324" r:id="rId3378" xr:uid="{00000000-0004-0000-0200-0000310D0000}"/>
    <hyperlink ref="G2324" r:id="rId3379" xr:uid="{00000000-0004-0000-0200-0000320D0000}"/>
    <hyperlink ref="S2324" r:id="rId3380" xr:uid="{00000000-0004-0000-0200-0000330D0000}"/>
    <hyperlink ref="C2325" r:id="rId3381" xr:uid="{00000000-0004-0000-0200-0000340D0000}"/>
    <hyperlink ref="F2325" r:id="rId3382" xr:uid="{00000000-0004-0000-0200-0000350D0000}"/>
    <hyperlink ref="F2326" r:id="rId3383" xr:uid="{00000000-0004-0000-0200-0000360D0000}"/>
    <hyperlink ref="F2328" r:id="rId3384" xr:uid="{00000000-0004-0000-0200-0000370D0000}"/>
    <hyperlink ref="S2329" r:id="rId3385" xr:uid="{00000000-0004-0000-0200-0000380D0000}"/>
    <hyperlink ref="F2330" r:id="rId3386" xr:uid="{00000000-0004-0000-0200-0000390D0000}"/>
    <hyperlink ref="S2330" r:id="rId3387" xr:uid="{00000000-0004-0000-0200-00003A0D0000}"/>
    <hyperlink ref="F2331" r:id="rId3388" xr:uid="{00000000-0004-0000-0200-00003B0D0000}"/>
    <hyperlink ref="S2331" r:id="rId3389" xr:uid="{00000000-0004-0000-0200-00003C0D0000}"/>
    <hyperlink ref="G2332" r:id="rId3390" xr:uid="{00000000-0004-0000-0200-00003D0D0000}"/>
    <hyperlink ref="F2334" r:id="rId3391" xr:uid="{00000000-0004-0000-0200-00003E0D0000}"/>
    <hyperlink ref="G2334" r:id="rId3392" xr:uid="{00000000-0004-0000-0200-00003F0D0000}"/>
    <hyperlink ref="S2334" r:id="rId3393" xr:uid="{00000000-0004-0000-0200-0000400D0000}"/>
    <hyperlink ref="F2335" r:id="rId3394" xr:uid="{00000000-0004-0000-0200-0000410D0000}"/>
    <hyperlink ref="S2335" r:id="rId3395" xr:uid="{00000000-0004-0000-0200-0000420D0000}"/>
    <hyperlink ref="S2336" r:id="rId3396" xr:uid="{00000000-0004-0000-0200-0000430D0000}"/>
    <hyperlink ref="F2337" r:id="rId3397" xr:uid="{00000000-0004-0000-0200-0000440D0000}"/>
    <hyperlink ref="F2338" r:id="rId3398" xr:uid="{00000000-0004-0000-0200-0000450D0000}"/>
    <hyperlink ref="S2338" r:id="rId3399" xr:uid="{00000000-0004-0000-0200-0000460D0000}"/>
    <hyperlink ref="F2339" r:id="rId3400" xr:uid="{00000000-0004-0000-0200-0000470D0000}"/>
    <hyperlink ref="F2341" r:id="rId3401" xr:uid="{00000000-0004-0000-0200-0000480D0000}"/>
    <hyperlink ref="F2342" r:id="rId3402" xr:uid="{00000000-0004-0000-0200-0000490D0000}"/>
    <hyperlink ref="G2342" r:id="rId3403" xr:uid="{00000000-0004-0000-0200-00004A0D0000}"/>
    <hyperlink ref="F2343" r:id="rId3404" xr:uid="{00000000-0004-0000-0200-00004B0D0000}"/>
    <hyperlink ref="S2343" r:id="rId3405" xr:uid="{00000000-0004-0000-0200-00004C0D0000}"/>
    <hyperlink ref="F2344" r:id="rId3406" xr:uid="{00000000-0004-0000-0200-00004D0D0000}"/>
    <hyperlink ref="S2344" r:id="rId3407" xr:uid="{00000000-0004-0000-0200-00004E0D0000}"/>
    <hyperlink ref="F2345" r:id="rId3408" xr:uid="{00000000-0004-0000-0200-00004F0D0000}"/>
    <hyperlink ref="G2346" r:id="rId3409" xr:uid="{00000000-0004-0000-0200-0000500D0000}"/>
    <hyperlink ref="F2347" r:id="rId3410" xr:uid="{00000000-0004-0000-0200-0000510D0000}"/>
    <hyperlink ref="G2348" r:id="rId3411" xr:uid="{00000000-0004-0000-0200-0000520D0000}"/>
    <hyperlink ref="S2348" r:id="rId3412" xr:uid="{00000000-0004-0000-0200-0000530D0000}"/>
    <hyperlink ref="F2349" r:id="rId3413" xr:uid="{00000000-0004-0000-0200-0000540D0000}"/>
    <hyperlink ref="S2349" r:id="rId3414" xr:uid="{00000000-0004-0000-0200-0000550D0000}"/>
    <hyperlink ref="C2350" r:id="rId3415" xr:uid="{00000000-0004-0000-0200-0000560D0000}"/>
    <hyperlink ref="F2350" r:id="rId3416" xr:uid="{00000000-0004-0000-0200-0000570D0000}"/>
    <hyperlink ref="S2350" r:id="rId3417" xr:uid="{00000000-0004-0000-0200-0000580D0000}"/>
    <hyperlink ref="F2352" r:id="rId3418" xr:uid="{00000000-0004-0000-0200-0000590D0000}"/>
    <hyperlink ref="G2352" r:id="rId3419" xr:uid="{00000000-0004-0000-0200-00005A0D0000}"/>
    <hyperlink ref="S2352" r:id="rId3420" xr:uid="{00000000-0004-0000-0200-00005B0D0000}"/>
    <hyperlink ref="F2353" r:id="rId3421" location=".W_aa5j4ENiA.twitter" xr:uid="{00000000-0004-0000-0200-00005C0D0000}"/>
    <hyperlink ref="C2354" r:id="rId3422" xr:uid="{00000000-0004-0000-0200-00005D0D0000}"/>
    <hyperlink ref="G2354" r:id="rId3423" xr:uid="{00000000-0004-0000-0200-00005E0D0000}"/>
    <hyperlink ref="F2355" r:id="rId3424" xr:uid="{00000000-0004-0000-0200-00005F0D0000}"/>
    <hyperlink ref="S2356" r:id="rId3425" xr:uid="{00000000-0004-0000-0200-0000600D0000}"/>
    <hyperlink ref="F2357" r:id="rId3426" xr:uid="{00000000-0004-0000-0200-0000610D0000}"/>
    <hyperlink ref="G2357" r:id="rId3427" xr:uid="{00000000-0004-0000-0200-0000620D0000}"/>
    <hyperlink ref="S2357" r:id="rId3428" xr:uid="{00000000-0004-0000-0200-0000630D0000}"/>
    <hyperlink ref="G2358" r:id="rId3429" xr:uid="{00000000-0004-0000-0200-0000640D0000}"/>
    <hyperlink ref="F2359" r:id="rId3430" xr:uid="{00000000-0004-0000-0200-0000650D0000}"/>
    <hyperlink ref="F2361" r:id="rId3431" xr:uid="{00000000-0004-0000-0200-0000660D0000}"/>
    <hyperlink ref="G2361" r:id="rId3432" xr:uid="{00000000-0004-0000-0200-0000670D0000}"/>
    <hyperlink ref="F2362" r:id="rId3433" xr:uid="{00000000-0004-0000-0200-0000680D0000}"/>
    <hyperlink ref="F2363" r:id="rId3434" xr:uid="{00000000-0004-0000-0200-0000690D0000}"/>
    <hyperlink ref="S2363" r:id="rId3435" xr:uid="{00000000-0004-0000-0200-00006A0D0000}"/>
    <hyperlink ref="G2364" r:id="rId3436" xr:uid="{00000000-0004-0000-0200-00006B0D0000}"/>
    <hyperlink ref="G2365" r:id="rId3437" xr:uid="{00000000-0004-0000-0200-00006C0D0000}"/>
    <hyperlink ref="S2365" r:id="rId3438" xr:uid="{00000000-0004-0000-0200-00006D0D0000}"/>
    <hyperlink ref="F2367" r:id="rId3439" xr:uid="{00000000-0004-0000-0200-00006E0D0000}"/>
    <hyperlink ref="F2368" r:id="rId3440" xr:uid="{00000000-0004-0000-0200-00006F0D0000}"/>
    <hyperlink ref="S2368" r:id="rId3441" xr:uid="{00000000-0004-0000-0200-0000700D0000}"/>
    <hyperlink ref="F2369" r:id="rId3442" xr:uid="{00000000-0004-0000-0200-0000710D0000}"/>
    <hyperlink ref="S2369" r:id="rId3443" xr:uid="{00000000-0004-0000-0200-0000720D0000}"/>
    <hyperlink ref="F2370" r:id="rId3444" location=".W_aWSIhncWQ.twitter" xr:uid="{00000000-0004-0000-0200-0000730D0000}"/>
    <hyperlink ref="S2370" r:id="rId3445" xr:uid="{00000000-0004-0000-0200-0000740D0000}"/>
    <hyperlink ref="F2371" r:id="rId3446" location=".W_aWJruBJxQ.twitter" xr:uid="{00000000-0004-0000-0200-0000750D0000}"/>
    <hyperlink ref="F2372" r:id="rId3447" xr:uid="{00000000-0004-0000-0200-0000760D0000}"/>
    <hyperlink ref="F2373" r:id="rId3448" xr:uid="{00000000-0004-0000-0200-0000770D0000}"/>
    <hyperlink ref="G2373" r:id="rId3449" xr:uid="{00000000-0004-0000-0200-0000780D0000}"/>
    <hyperlink ref="F2375" r:id="rId3450" xr:uid="{00000000-0004-0000-0200-0000790D0000}"/>
    <hyperlink ref="S2375" r:id="rId3451" xr:uid="{00000000-0004-0000-0200-00007A0D0000}"/>
    <hyperlink ref="G2376" r:id="rId3452" xr:uid="{00000000-0004-0000-0200-00007B0D0000}"/>
    <hyperlink ref="S2376" r:id="rId3453" xr:uid="{00000000-0004-0000-0200-00007C0D0000}"/>
    <hyperlink ref="F2378" r:id="rId3454" xr:uid="{00000000-0004-0000-0200-00007D0D0000}"/>
    <hyperlink ref="S2378" r:id="rId3455" xr:uid="{00000000-0004-0000-0200-00007E0D0000}"/>
    <hyperlink ref="F2379" r:id="rId3456" xr:uid="{00000000-0004-0000-0200-00007F0D0000}"/>
    <hyperlink ref="S2379" r:id="rId3457" xr:uid="{00000000-0004-0000-0200-0000800D0000}"/>
    <hyperlink ref="F2380" r:id="rId3458" xr:uid="{00000000-0004-0000-0200-0000810D0000}"/>
    <hyperlink ref="F2381" r:id="rId3459" xr:uid="{00000000-0004-0000-0200-0000820D0000}"/>
    <hyperlink ref="S2381" r:id="rId3460" xr:uid="{00000000-0004-0000-0200-0000830D0000}"/>
    <hyperlink ref="F2382" r:id="rId3461" location="Echobox=1542885020" xr:uid="{00000000-0004-0000-0200-0000840D0000}"/>
    <hyperlink ref="F2384" r:id="rId3462" xr:uid="{00000000-0004-0000-0200-0000850D0000}"/>
    <hyperlink ref="S2384" r:id="rId3463" xr:uid="{00000000-0004-0000-0200-0000860D0000}"/>
    <hyperlink ref="S2385" r:id="rId3464" xr:uid="{00000000-0004-0000-0200-0000870D0000}"/>
    <hyperlink ref="F2386" r:id="rId3465" xr:uid="{00000000-0004-0000-0200-0000880D0000}"/>
    <hyperlink ref="S2386" r:id="rId3466" xr:uid="{00000000-0004-0000-0200-0000890D0000}"/>
    <hyperlink ref="F2388" r:id="rId3467" xr:uid="{00000000-0004-0000-0200-00008A0D0000}"/>
    <hyperlink ref="S2388" r:id="rId3468" xr:uid="{00000000-0004-0000-0200-00008B0D0000}"/>
    <hyperlink ref="F2389" r:id="rId3469" xr:uid="{00000000-0004-0000-0200-00008C0D0000}"/>
    <hyperlink ref="F2390" r:id="rId3470" xr:uid="{00000000-0004-0000-0200-00008D0D0000}"/>
    <hyperlink ref="G2390" r:id="rId3471" xr:uid="{00000000-0004-0000-0200-00008E0D0000}"/>
    <hyperlink ref="F2391" r:id="rId3472" location=".W_aNaBFy1SA.facebook" xr:uid="{00000000-0004-0000-0200-00008F0D0000}"/>
    <hyperlink ref="F2392" r:id="rId3473" xr:uid="{00000000-0004-0000-0200-0000900D0000}"/>
    <hyperlink ref="S2392" r:id="rId3474" xr:uid="{00000000-0004-0000-0200-0000910D0000}"/>
    <hyperlink ref="F2393" r:id="rId3475" xr:uid="{00000000-0004-0000-0200-0000920D0000}"/>
    <hyperlink ref="S2393" r:id="rId3476" xr:uid="{00000000-0004-0000-0200-0000930D0000}"/>
    <hyperlink ref="F2394" r:id="rId3477" xr:uid="{00000000-0004-0000-0200-0000940D0000}"/>
    <hyperlink ref="F2398" r:id="rId3478" xr:uid="{00000000-0004-0000-0200-0000950D0000}"/>
    <hyperlink ref="F2399" r:id="rId3479" xr:uid="{00000000-0004-0000-0200-0000960D0000}"/>
    <hyperlink ref="F2402" r:id="rId3480" xr:uid="{00000000-0004-0000-0200-0000970D0000}"/>
    <hyperlink ref="F2403" r:id="rId3481" xr:uid="{00000000-0004-0000-0200-0000980D0000}"/>
    <hyperlink ref="G2403" r:id="rId3482" xr:uid="{00000000-0004-0000-0200-0000990D0000}"/>
    <hyperlink ref="F2404" r:id="rId3483" xr:uid="{00000000-0004-0000-0200-00009A0D0000}"/>
    <hyperlink ref="F2405" r:id="rId3484" xr:uid="{00000000-0004-0000-0200-00009B0D0000}"/>
    <hyperlink ref="G2405" r:id="rId3485" xr:uid="{00000000-0004-0000-0200-00009C0D0000}"/>
    <hyperlink ref="S2405" r:id="rId3486" xr:uid="{00000000-0004-0000-0200-00009D0D0000}"/>
    <hyperlink ref="G2406" r:id="rId3487" xr:uid="{00000000-0004-0000-0200-00009E0D0000}"/>
    <hyperlink ref="F2408" r:id="rId3488" location=".W_aQ7gYk_rY.twitter" xr:uid="{00000000-0004-0000-0200-00009F0D0000}"/>
    <hyperlink ref="F2409" r:id="rId3489" location=".W_aQ6l_xOud.twitter" xr:uid="{00000000-0004-0000-0200-0000A00D0000}"/>
    <hyperlink ref="F2410" r:id="rId3490" xr:uid="{00000000-0004-0000-0200-0000A10D0000}"/>
    <hyperlink ref="S2410" r:id="rId3491" xr:uid="{00000000-0004-0000-0200-0000A20D0000}"/>
    <hyperlink ref="F2411" r:id="rId3492" xr:uid="{00000000-0004-0000-0200-0000A30D0000}"/>
    <hyperlink ref="S2411" r:id="rId3493" xr:uid="{00000000-0004-0000-0200-0000A40D0000}"/>
    <hyperlink ref="F2412" r:id="rId3494" xr:uid="{00000000-0004-0000-0200-0000A50D0000}"/>
    <hyperlink ref="F2413" r:id="rId3495" xr:uid="{00000000-0004-0000-0200-0000A60D0000}"/>
    <hyperlink ref="S2413" r:id="rId3496" xr:uid="{00000000-0004-0000-0200-0000A70D0000}"/>
    <hyperlink ref="F2414" r:id="rId3497" xr:uid="{00000000-0004-0000-0200-0000A80D0000}"/>
    <hyperlink ref="F2415" r:id="rId3498" xr:uid="{00000000-0004-0000-0200-0000A90D0000}"/>
    <hyperlink ref="S2415" r:id="rId3499" xr:uid="{00000000-0004-0000-0200-0000AA0D0000}"/>
    <hyperlink ref="F2421" r:id="rId3500" xr:uid="{00000000-0004-0000-0200-0000AB0D0000}"/>
    <hyperlink ref="F2422" r:id="rId3501" xr:uid="{00000000-0004-0000-0200-0000AC0D0000}"/>
    <hyperlink ref="F2423" r:id="rId3502" xr:uid="{00000000-0004-0000-0200-0000AD0D0000}"/>
    <hyperlink ref="F2424" r:id="rId3503" xr:uid="{00000000-0004-0000-0200-0000AE0D0000}"/>
    <hyperlink ref="G2424" r:id="rId3504" xr:uid="{00000000-0004-0000-0200-0000AF0D0000}"/>
    <hyperlink ref="S2424" r:id="rId3505" xr:uid="{00000000-0004-0000-0200-0000B00D0000}"/>
    <hyperlink ref="F2425" r:id="rId3506" xr:uid="{00000000-0004-0000-0200-0000B10D0000}"/>
    <hyperlink ref="S2425" r:id="rId3507" xr:uid="{00000000-0004-0000-0200-0000B20D0000}"/>
    <hyperlink ref="F2426" r:id="rId3508" xr:uid="{00000000-0004-0000-0200-0000B30D0000}"/>
    <hyperlink ref="G2426" r:id="rId3509" xr:uid="{00000000-0004-0000-0200-0000B40D0000}"/>
    <hyperlink ref="S2426" r:id="rId3510" xr:uid="{00000000-0004-0000-0200-0000B50D0000}"/>
    <hyperlink ref="F2427" r:id="rId3511" xr:uid="{00000000-0004-0000-0200-0000B60D0000}"/>
    <hyperlink ref="S2428" r:id="rId3512" xr:uid="{00000000-0004-0000-0200-0000B70D0000}"/>
    <hyperlink ref="F2429" r:id="rId3513" xr:uid="{00000000-0004-0000-0200-0000B80D0000}"/>
    <hyperlink ref="S2429" r:id="rId3514" xr:uid="{00000000-0004-0000-0200-0000B90D0000}"/>
    <hyperlink ref="F2430" r:id="rId3515" xr:uid="{00000000-0004-0000-0200-0000BA0D0000}"/>
    <hyperlink ref="G2430" r:id="rId3516" xr:uid="{00000000-0004-0000-0200-0000BB0D0000}"/>
    <hyperlink ref="S2430" r:id="rId3517" xr:uid="{00000000-0004-0000-0200-0000BC0D0000}"/>
    <hyperlink ref="F2431" r:id="rId3518" location=".W_aORoPseqh.twitter" xr:uid="{00000000-0004-0000-0200-0000BD0D0000}"/>
    <hyperlink ref="F2432" r:id="rId3519" xr:uid="{00000000-0004-0000-0200-0000BE0D0000}"/>
    <hyperlink ref="F2433" r:id="rId3520" xr:uid="{00000000-0004-0000-0200-0000BF0D0000}"/>
    <hyperlink ref="S2433" r:id="rId3521" xr:uid="{00000000-0004-0000-0200-0000C00D0000}"/>
    <hyperlink ref="F2434" r:id="rId3522" xr:uid="{00000000-0004-0000-0200-0000C10D0000}"/>
    <hyperlink ref="F2436" r:id="rId3523" xr:uid="{00000000-0004-0000-0200-0000C20D0000}"/>
    <hyperlink ref="G2436" r:id="rId3524" xr:uid="{00000000-0004-0000-0200-0000C30D0000}"/>
    <hyperlink ref="S2436" r:id="rId3525" xr:uid="{00000000-0004-0000-0200-0000C40D0000}"/>
    <hyperlink ref="G2437" r:id="rId3526" xr:uid="{00000000-0004-0000-0200-0000C50D0000}"/>
    <hyperlink ref="S2437" r:id="rId3527" xr:uid="{00000000-0004-0000-0200-0000C60D0000}"/>
    <hyperlink ref="G2438" r:id="rId3528" xr:uid="{00000000-0004-0000-0200-0000C70D0000}"/>
    <hyperlink ref="S2438" r:id="rId3529" xr:uid="{00000000-0004-0000-0200-0000C80D0000}"/>
    <hyperlink ref="F2439" r:id="rId3530" location=".W_aNiVRNjGw.facebook" xr:uid="{00000000-0004-0000-0200-0000C90D0000}"/>
    <hyperlink ref="F2440" r:id="rId3531" xr:uid="{00000000-0004-0000-0200-0000CA0D0000}"/>
    <hyperlink ref="G2440" r:id="rId3532" xr:uid="{00000000-0004-0000-0200-0000CB0D0000}"/>
    <hyperlink ref="S2440" r:id="rId3533" xr:uid="{00000000-0004-0000-0200-0000CC0D0000}"/>
    <hyperlink ref="F2441" r:id="rId3534" xr:uid="{00000000-0004-0000-0200-0000CD0D0000}"/>
    <hyperlink ref="G2441" r:id="rId3535" xr:uid="{00000000-0004-0000-0200-0000CE0D0000}"/>
    <hyperlink ref="F2442" r:id="rId3536" xr:uid="{00000000-0004-0000-0200-0000CF0D0000}"/>
    <hyperlink ref="F2443" r:id="rId3537" xr:uid="{00000000-0004-0000-0200-0000D00D0000}"/>
    <hyperlink ref="F2444" r:id="rId3538" xr:uid="{00000000-0004-0000-0200-0000D10D0000}"/>
    <hyperlink ref="F2445" r:id="rId3539" xr:uid="{00000000-0004-0000-0200-0000D20D0000}"/>
    <hyperlink ref="S2445" r:id="rId3540" xr:uid="{00000000-0004-0000-0200-0000D30D0000}"/>
    <hyperlink ref="F2446" r:id="rId3541" xr:uid="{00000000-0004-0000-0200-0000D40D0000}"/>
    <hyperlink ref="S2446" r:id="rId3542" xr:uid="{00000000-0004-0000-0200-0000D50D0000}"/>
    <hyperlink ref="G2448" r:id="rId3543" xr:uid="{00000000-0004-0000-0200-0000D60D0000}"/>
    <hyperlink ref="S2448" r:id="rId3544" xr:uid="{00000000-0004-0000-0200-0000D70D0000}"/>
    <hyperlink ref="F2449" r:id="rId3545" xr:uid="{00000000-0004-0000-0200-0000D80D0000}"/>
    <hyperlink ref="F2450" r:id="rId3546" xr:uid="{00000000-0004-0000-0200-0000D90D0000}"/>
    <hyperlink ref="F2451" r:id="rId3547" xr:uid="{00000000-0004-0000-0200-0000DA0D0000}"/>
    <hyperlink ref="F2452" r:id="rId3548" xr:uid="{00000000-0004-0000-0200-0000DB0D0000}"/>
    <hyperlink ref="S2452" r:id="rId3549" xr:uid="{00000000-0004-0000-0200-0000DC0D0000}"/>
    <hyperlink ref="F2453" r:id="rId3550" xr:uid="{00000000-0004-0000-0200-0000DD0D0000}"/>
    <hyperlink ref="S2453" r:id="rId3551" xr:uid="{00000000-0004-0000-0200-0000DE0D0000}"/>
    <hyperlink ref="G2454" r:id="rId3552" xr:uid="{00000000-0004-0000-0200-0000DF0D0000}"/>
    <hyperlink ref="S2454" r:id="rId3553" xr:uid="{00000000-0004-0000-0200-0000E00D0000}"/>
    <hyperlink ref="F2455" r:id="rId3554" xr:uid="{00000000-0004-0000-0200-0000E10D0000}"/>
    <hyperlink ref="F2457" r:id="rId3555" xr:uid="{00000000-0004-0000-0200-0000E20D0000}"/>
    <hyperlink ref="S2457" r:id="rId3556" xr:uid="{00000000-0004-0000-0200-0000E30D0000}"/>
    <hyperlink ref="G2458" r:id="rId3557" xr:uid="{00000000-0004-0000-0200-0000E40D0000}"/>
    <hyperlink ref="G2459" r:id="rId3558" xr:uid="{00000000-0004-0000-0200-0000E50D0000}"/>
    <hyperlink ref="F2460" r:id="rId3559" xr:uid="{00000000-0004-0000-0200-0000E60D0000}"/>
    <hyperlink ref="S2460" r:id="rId3560" xr:uid="{00000000-0004-0000-0200-0000E70D0000}"/>
    <hyperlink ref="F2462" r:id="rId3561" xr:uid="{00000000-0004-0000-0200-0000E80D0000}"/>
    <hyperlink ref="S2462" r:id="rId3562" xr:uid="{00000000-0004-0000-0200-0000E90D0000}"/>
    <hyperlink ref="F2463" r:id="rId3563" location=".W_aLGmF1GbA.twitter" xr:uid="{00000000-0004-0000-0200-0000EA0D0000}"/>
    <hyperlink ref="F2464" r:id="rId3564" xr:uid="{00000000-0004-0000-0200-0000EB0D0000}"/>
    <hyperlink ref="S2464" r:id="rId3565" xr:uid="{00000000-0004-0000-0200-0000EC0D0000}"/>
    <hyperlink ref="G2465" r:id="rId3566" xr:uid="{00000000-0004-0000-0200-0000ED0D0000}"/>
    <hyperlink ref="F2466" r:id="rId3567" xr:uid="{00000000-0004-0000-0200-0000EE0D0000}"/>
    <hyperlink ref="S2466" r:id="rId3568" xr:uid="{00000000-0004-0000-0200-0000EF0D0000}"/>
    <hyperlink ref="F2467" r:id="rId3569" xr:uid="{00000000-0004-0000-0200-0000F00D0000}"/>
    <hyperlink ref="G2467" r:id="rId3570" xr:uid="{00000000-0004-0000-0200-0000F10D0000}"/>
    <hyperlink ref="S2467" r:id="rId3571" xr:uid="{00000000-0004-0000-0200-0000F20D0000}"/>
    <hyperlink ref="G2469" r:id="rId3572" xr:uid="{00000000-0004-0000-0200-0000F30D0000}"/>
    <hyperlink ref="S2469" r:id="rId3573" xr:uid="{00000000-0004-0000-0200-0000F40D0000}"/>
    <hyperlink ref="F2470" r:id="rId3574" xr:uid="{00000000-0004-0000-0200-0000F50D0000}"/>
    <hyperlink ref="F2472" r:id="rId3575" xr:uid="{00000000-0004-0000-0200-0000F60D0000}"/>
    <hyperlink ref="F2474" r:id="rId3576" xr:uid="{00000000-0004-0000-0200-0000F70D0000}"/>
    <hyperlink ref="S2474" r:id="rId3577" xr:uid="{00000000-0004-0000-0200-0000F80D0000}"/>
    <hyperlink ref="F2475" r:id="rId3578" xr:uid="{00000000-0004-0000-0200-0000F90D0000}"/>
    <hyperlink ref="S2475" r:id="rId3579" xr:uid="{00000000-0004-0000-0200-0000FA0D0000}"/>
    <hyperlink ref="G2477" r:id="rId3580" xr:uid="{00000000-0004-0000-0200-0000FB0D0000}"/>
    <hyperlink ref="S2477" r:id="rId3581" xr:uid="{00000000-0004-0000-0200-0000FC0D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"Pedro Sánchez" langes -filterr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2018-12-10T18:16:41Z</dcterms:modified>
</cp:coreProperties>
</file>